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4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7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8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9.xml" ContentType="application/vnd.openxmlformats-officedocument.drawing+xml"/>
  <Override PartName="/xl/charts/chart43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4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9 (ลงในงานจัดการพลังงาน)\"/>
    </mc:Choice>
  </mc:AlternateContent>
  <bookViews>
    <workbookView xWindow="0" yWindow="0" windowWidth="23040" windowHeight="8676" tabRatio="702"/>
  </bookViews>
  <sheets>
    <sheet name="อาคารสำนักงานมหาวิทยาลัย 110 kW" sheetId="3" r:id="rId1"/>
    <sheet name="อาคารอำนวย ยศสุข 300 kW" sheetId="6" r:id="rId2"/>
    <sheet name="อาคารยรรยง สิทธิชัย 20 kW" sheetId="1" r:id="rId3"/>
    <sheet name="ที่จอดรถวิทยาลัยพลังงานทดแทน 40" sheetId="4" r:id="rId4"/>
    <sheet name="วิทยาลัยพลังงานทดแทน 300 kW" sheetId="7" r:id="rId5"/>
    <sheet name="สนามกีฬาอินทนิล 40 kW " sheetId="5" r:id="rId6"/>
    <sheet name="อาคารหอพักอุดมศิลป์ 80 kW" sheetId="8" r:id="rId7"/>
    <sheet name="อาคารระบบประปา 20 kW " sheetId="9" r:id="rId8"/>
    <sheet name="อาคารระบบบำบัดน้ำเสีย 10 kW " sheetId="10" r:id="rId9"/>
  </sheets>
  <definedNames>
    <definedName name="_xlnm.Print_Area" localSheetId="4">'วิทยาลัยพลังงานทดแทน 300 kW'!$A$1:$K$96</definedName>
    <definedName name="_xlnm.Print_Area" localSheetId="5">'สนามกีฬาอินทนิล 40 kW '!$A$1:$K$16</definedName>
    <definedName name="_xlnm.Print_Area" localSheetId="2">'อาคารยรรยง สิทธิชัย 20 kW'!$A$1:$L$16</definedName>
    <definedName name="_xlnm.Print_Area" localSheetId="0">'อาคารสำนักงานมหาวิทยาลัย 110 kW'!$A$1:$I$104</definedName>
    <definedName name="_xlnm.Print_Area" localSheetId="1">'อาคารอำนวย ยศสุข 300 kW'!$A$1:$H$90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8" l="1"/>
  <c r="D7" i="8"/>
  <c r="D6" i="8"/>
  <c r="D5" i="8"/>
  <c r="D4" i="8" l="1"/>
  <c r="C15" i="8"/>
  <c r="K16" i="5" l="1"/>
  <c r="K16" i="7"/>
  <c r="K16" i="4"/>
  <c r="L16" i="1"/>
  <c r="H16" i="6"/>
  <c r="I16" i="3"/>
  <c r="C14" i="8" l="1"/>
  <c r="C13" i="8"/>
  <c r="C12" i="8" l="1"/>
  <c r="C11" i="8" l="1"/>
  <c r="C10" i="8" l="1"/>
  <c r="C9" i="8" l="1"/>
  <c r="C8" i="8" l="1"/>
  <c r="C7" i="8" l="1"/>
  <c r="C6" i="8" l="1"/>
  <c r="B15" i="8" l="1"/>
  <c r="C4" i="8"/>
  <c r="C5" i="8"/>
  <c r="B14" i="8" l="1"/>
  <c r="B13" i="8" l="1"/>
  <c r="J16" i="5" l="1"/>
  <c r="J16" i="7"/>
  <c r="J16" i="4"/>
  <c r="K16" i="1"/>
  <c r="G16" i="6" l="1"/>
  <c r="H16" i="3"/>
  <c r="B12" i="8" l="1"/>
  <c r="B11" i="8" l="1"/>
  <c r="B10" i="8" l="1"/>
  <c r="B9" i="8" l="1"/>
  <c r="B8" i="8"/>
  <c r="B7" i="8" l="1"/>
  <c r="B6" i="8"/>
  <c r="B5" i="8"/>
  <c r="B4" i="8"/>
  <c r="F16" i="10" l="1"/>
  <c r="E16" i="10"/>
  <c r="D16" i="10"/>
  <c r="C16" i="10"/>
  <c r="B16" i="10"/>
  <c r="F16" i="9"/>
  <c r="E16" i="9"/>
  <c r="D16" i="9"/>
  <c r="C16" i="9"/>
  <c r="B16" i="9"/>
  <c r="B16" i="8" l="1"/>
  <c r="D16" i="8"/>
  <c r="C16" i="8"/>
  <c r="E16" i="8" l="1"/>
  <c r="H16" i="5"/>
  <c r="I16" i="7" l="1"/>
  <c r="I16" i="4"/>
  <c r="J16" i="1"/>
  <c r="F16" i="6"/>
  <c r="G16" i="3"/>
  <c r="C4" i="6" l="1"/>
  <c r="G16" i="1" l="1"/>
  <c r="H16" i="7" l="1"/>
  <c r="G16" i="7"/>
  <c r="F16" i="7"/>
  <c r="E16" i="7"/>
  <c r="D16" i="7"/>
  <c r="C16" i="7"/>
  <c r="B16" i="7"/>
  <c r="I16" i="5" l="1"/>
  <c r="H16" i="4"/>
  <c r="I16" i="1"/>
  <c r="E16" i="6"/>
  <c r="F16" i="3"/>
  <c r="D12" i="6" l="1"/>
  <c r="D11" i="6"/>
  <c r="D10" i="6"/>
  <c r="D9" i="6"/>
  <c r="D8" i="6"/>
  <c r="D7" i="6"/>
  <c r="D6" i="6"/>
  <c r="D5" i="6"/>
  <c r="D4" i="6"/>
  <c r="C15" i="6"/>
  <c r="C14" i="6"/>
  <c r="C13" i="6"/>
  <c r="C12" i="6"/>
  <c r="C11" i="6"/>
  <c r="C10" i="6"/>
  <c r="C9" i="6"/>
  <c r="C8" i="6"/>
  <c r="C7" i="6"/>
  <c r="C6" i="6"/>
  <c r="C5" i="6"/>
  <c r="B15" i="6"/>
  <c r="B14" i="6"/>
  <c r="B13" i="6"/>
  <c r="B12" i="6"/>
  <c r="B11" i="6"/>
  <c r="B16" i="1"/>
  <c r="H16" i="1"/>
  <c r="F16" i="1"/>
  <c r="E16" i="1"/>
  <c r="D16" i="1"/>
  <c r="C16" i="1"/>
  <c r="G16" i="4"/>
  <c r="F16" i="4"/>
  <c r="E16" i="4"/>
  <c r="D16" i="4"/>
  <c r="C16" i="4"/>
  <c r="B16" i="4"/>
  <c r="E12" i="3"/>
  <c r="E11" i="3"/>
  <c r="E10" i="3"/>
  <c r="E9" i="3"/>
  <c r="E8" i="3"/>
  <c r="E7" i="3"/>
  <c r="E6" i="3"/>
  <c r="E5" i="3"/>
  <c r="E4" i="3"/>
  <c r="D15" i="3"/>
  <c r="D14" i="3"/>
  <c r="D13" i="3"/>
  <c r="D12" i="3"/>
  <c r="D11" i="3"/>
  <c r="D10" i="3"/>
  <c r="D9" i="3"/>
  <c r="D8" i="3"/>
  <c r="D7" i="3"/>
  <c r="D6" i="3"/>
  <c r="D5" i="3"/>
  <c r="D4" i="3"/>
  <c r="C15" i="3"/>
  <c r="C14" i="3"/>
  <c r="C13" i="3"/>
  <c r="C12" i="3"/>
  <c r="C11" i="3"/>
  <c r="C10" i="3"/>
  <c r="C9" i="3"/>
  <c r="C8" i="3"/>
  <c r="C7" i="3"/>
  <c r="C6" i="3"/>
  <c r="C5" i="3"/>
  <c r="C4" i="3"/>
  <c r="B15" i="3"/>
  <c r="B13" i="3"/>
  <c r="B12" i="3"/>
  <c r="B11" i="3"/>
  <c r="B10" i="3"/>
  <c r="C16" i="5"/>
  <c r="D16" i="5"/>
  <c r="E16" i="5"/>
  <c r="F16" i="5"/>
  <c r="G16" i="5"/>
  <c r="B16" i="5"/>
  <c r="B16" i="6" l="1"/>
  <c r="D16" i="6"/>
  <c r="C16" i="6"/>
  <c r="E16" i="3"/>
  <c r="D16" i="3"/>
  <c r="C16" i="3"/>
  <c r="B16" i="3"/>
</calcChain>
</file>

<file path=xl/sharedStrings.xml><?xml version="1.0" encoding="utf-8"?>
<sst xmlns="http://schemas.openxmlformats.org/spreadsheetml/2006/main" count="488" uniqueCount="39">
  <si>
    <t>เดือน</t>
  </si>
  <si>
    <t>(kWh)</t>
  </si>
  <si>
    <t>มกราคม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</si>
  <si>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</si>
  <si>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</si>
  <si>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</si>
  <si>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</si>
  <si>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</si>
  <si>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</si>
  <si>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</si>
  <si>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</si>
  <si>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</si>
  <si>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</si>
  <si>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</si>
  <si>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-</t>
  </si>
  <si>
    <t>การผลิตกระแสไฟฟ้าจากโซล่าเซลล์ (สนามกีฬาอินทนิล 40 kW)</t>
  </si>
  <si>
    <t>การผลิตกระแสไฟฟ้าจากโซล่าเซลล์ (อาคารยรรยง สิทธิชัย 20 kW)</t>
  </si>
  <si>
    <t>การผลิตกระแสไฟฟ้าจากโซล่าเซลล์ (อาคารสำนักงานมหาวิทยาลัย 110 kW)</t>
  </si>
  <si>
    <t>การผลิตกระแสไฟฟ้าจากโซล่าเซลล์  (ที่จอดรถวิทยาลัยพลังงานทดแทน 40 kW)</t>
  </si>
  <si>
    <t>การผลิตกระแสไฟฟ้าจากโซล่าเซลล์  (อาคารอำนวย ยศสุข 300 kW)</t>
  </si>
  <si>
    <t>การผลิตกระแสไฟฟ้าจากโซล่าเซลล์  (วิทยาลัยพลังงานทดแทน 300 kW)</t>
  </si>
  <si>
    <t>กุมภาพันธ์</t>
  </si>
  <si>
    <t>การผลิตกระแสไฟฟ้าจากโซล่าเซลล์ (อาคารหอพักอุดมศิลป์ 80 kW)</t>
  </si>
  <si>
    <t>การผลิตกระแสไฟฟ้าจากโซล่าเซลล์ (อาคารระบบประปา 20 kW)</t>
  </si>
  <si>
    <r>
      <t xml:space="preserve">การผลิตกระแสไฟฟ้าจากโซล่าเซลล์ (อาคารระบบบำบัดน้ำเสีย 10 kW) </t>
    </r>
    <r>
      <rPr>
        <b/>
        <u/>
        <sz val="18"/>
        <color rgb="FFFF0000"/>
        <rFont val="Angsana New"/>
        <family val="1"/>
      </rPr>
      <t>ไม่สามารถดูข้อมูลได้</t>
    </r>
  </si>
  <si>
    <t>หน่วย  (2568)</t>
  </si>
  <si>
    <t>หน่วย  (2567)</t>
  </si>
  <si>
    <t>หน่วย  (2566)</t>
  </si>
  <si>
    <t>หน่วย  (2565)</t>
  </si>
  <si>
    <t>หน่วย  (2564)</t>
  </si>
  <si>
    <t>หน่วย  (2563)</t>
  </si>
  <si>
    <t>หน่วย (2562)</t>
  </si>
  <si>
    <t>หน่วย (2561)</t>
  </si>
  <si>
    <t>หน่วย (2560)</t>
  </si>
  <si>
    <t>หน่วย (2559)</t>
  </si>
  <si>
    <t>หน่วย  (2562)</t>
  </si>
  <si>
    <t>หน่วย  (2569)</t>
  </si>
  <si>
    <t>หน่วย  (2570)</t>
  </si>
  <si>
    <t>หน่วย  (2571)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</si>
</sst>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  <font>
      <b/>
      <sz val="18"/>
      <color rgb="FFFF0000"/>
      <name val="Angsana New"/>
      <family val="1"/>
    </font>
    <font>
      <b/>
      <sz val="18"/>
      <color rgb="FF002060"/>
      <name val="Angsana New"/>
      <family val="1"/>
    </font>
    <font>
      <sz val="18"/>
      <color rgb="FF002060"/>
      <name val="Angsana New"/>
      <family val="1"/>
    </font>
    <font>
      <b/>
      <u/>
      <sz val="18"/>
      <color rgb="FFFF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shrinkToFit="1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4" fontId="2" fillId="0" borderId="1" xfId="0" applyNumberFormat="1" applyFont="1" applyBorder="1" applyAlignment="1">
      <alignment horizontal="center" shrinkToFit="1"/>
    </xf>
    <xf numFmtId="0" fontId="3" fillId="0" borderId="1" xfId="0" applyFont="1" applyBorder="1" applyAlignment="1">
      <alignment horizontal="center" shrinkToFit="1"/>
    </xf>
    <xf numFmtId="4" fontId="3" fillId="0" borderId="1" xfId="0" applyNumberFormat="1" applyFont="1" applyBorder="1" applyAlignment="1">
      <alignment horizontal="center" shrinkToFit="1"/>
    </xf>
    <xf numFmtId="0" fontId="2" fillId="0" borderId="0" xfId="0" applyFont="1" applyAlignment="1">
      <alignment horizontal="center" shrinkToFit="1"/>
    </xf>
    <xf numFmtId="0" fontId="1" fillId="0" borderId="0" xfId="0" applyFont="1" applyAlignment="1">
      <alignment horizontal="left" vertical="center"/>
    </xf>
    <xf numFmtId="4" fontId="4" fillId="0" borderId="1" xfId="0" applyNumberFormat="1" applyFont="1" applyBorder="1" applyAlignment="1">
      <alignment horizontal="center" shrinkToFit="1"/>
    </xf>
    <xf numFmtId="4" fontId="5" fillId="0" borderId="1" xfId="0" applyNumberFormat="1" applyFont="1" applyBorder="1" applyAlignment="1">
      <alignment horizontal="center" shrinkToFit="1"/>
    </xf>
    <xf numFmtId="4" fontId="6" fillId="0" borderId="1" xfId="0" applyNumberFormat="1" applyFont="1" applyBorder="1" applyAlignment="1">
      <alignment horizontal="center" shrinkToFit="1"/>
    </xf>
    <xf numFmtId="2" fontId="2" fillId="0" borderId="1" xfId="0" applyNumberFormat="1" applyFont="1" applyBorder="1" applyAlignment="1">
      <alignment horizontal="center"/>
    </xf>
    <xf numFmtId="4" fontId="2" fillId="2" borderId="1" xfId="0" applyNumberFormat="1" applyFont="1" applyFill="1" applyBorder="1" applyAlignment="1">
      <alignment horizontal="center" shrinkToFi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kW'!$B$2:$B$3</c:f>
              <c:strCache>
                <c:ptCount val="2"/>
                <c:pt idx="0">
                  <c:v>หน่วย 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kW'!$B$4:$B$15</c:f>
            </c:numRef>
          </c:val>
          <c:extLst>
            <c:ext xmlns:c16="http://schemas.microsoft.com/office/drawing/2014/chart" uri="{C3380CC4-5D6E-409C-BE32-E72D297353CC}">
              <c16:uniqueId val="{00000000-3695-46F5-A518-A256C6BED267}"/>
            </c:ext>
          </c:extLst>
        </c:ser>
        <c:ser>
          <c:idx val="1"/>
          <c:order val="1"/>
          <c:tx>
            <c:strRef>
              <c:f>'อาคารสำนักงานมหาวิทยาลัย 110 kW'!$C$2:$C$3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kW'!$C$4:$C$15</c:f>
            </c:numRef>
          </c:val>
          <c:extLst>
            <c:ext xmlns:c16="http://schemas.microsoft.com/office/drawing/2014/chart" uri="{C3380CC4-5D6E-409C-BE32-E72D297353CC}">
              <c16:uniqueId val="{00000001-3695-46F5-A518-A256C6BED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2023-2024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kWh</a:t>
            </a:r>
          </a:p>
        </c:rich>
      </c:tx>
      <c:layout>
        <c:manualLayout>
          <c:xMode val="edge"/>
          <c:yMode val="edge"/>
          <c:x val="0.1302412540898141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kW'!$E$2:$E$3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kW'!$E$4:$E$15</c:f>
              <c:numCache>
                <c:formatCode>#,##0.00</c:formatCode>
                <c:ptCount val="12"/>
                <c:pt idx="0">
                  <c:v>34040</c:v>
                </c:pt>
                <c:pt idx="1">
                  <c:v>31700</c:v>
                </c:pt>
                <c:pt idx="2">
                  <c:v>34010</c:v>
                </c:pt>
                <c:pt idx="3">
                  <c:v>35850</c:v>
                </c:pt>
                <c:pt idx="4">
                  <c:v>42930</c:v>
                </c:pt>
                <c:pt idx="5">
                  <c:v>38700</c:v>
                </c:pt>
                <c:pt idx="6">
                  <c:v>38560</c:v>
                </c:pt>
                <c:pt idx="7">
                  <c:v>29740</c:v>
                </c:pt>
                <c:pt idx="8">
                  <c:v>32050</c:v>
                </c:pt>
                <c:pt idx="9">
                  <c:v>31750</c:v>
                </c:pt>
                <c:pt idx="10">
                  <c:v>32890</c:v>
                </c:pt>
                <c:pt idx="11">
                  <c:v>30940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A4-4278-825D-50666BACD931}"/>
            </c:ext>
          </c:extLst>
        </c:ser>
        <c:ser>
          <c:idx val="1"/>
          <c:order val="1"/>
          <c:tx>
            <c:strRef>
              <c:f>'อาคารอำนวย ยศสุข 300 kW'!$F$2:$F$3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kW'!$F$4:$F$15</c:f>
              <c:numCache>
                <c:formatCode>#,##0.00</c:formatCode>
                <c:ptCount val="12"/>
                <c:pt idx="0">
                  <c:v>26730</c:v>
                </c:pt>
                <c:pt idx="1">
                  <c:v>25820</c:v>
                </c:pt>
                <c:pt idx="2">
                  <c:v>34000</c:v>
                </c:pt>
                <c:pt idx="3">
                  <c:v>34870</c:v>
                </c:pt>
                <c:pt idx="4">
                  <c:v>21560</c:v>
                </c:pt>
                <c:pt idx="5">
                  <c:v>15450</c:v>
                </c:pt>
                <c:pt idx="6">
                  <c:v>31570</c:v>
                </c:pt>
                <c:pt idx="7">
                  <c:v>31000</c:v>
                </c:pt>
                <c:pt idx="8">
                  <c:v>28380</c:v>
                </c:pt>
                <c:pt idx="9">
                  <c:v>27390</c:v>
                </c:pt>
                <c:pt idx="10">
                  <c:v>27680</c:v>
                </c:pt>
                <c:pt idx="11">
                  <c:v>29500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A4-4278-825D-50666BACD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4</a:t>
            </a:r>
            <a:r>
              <a:rPr lang="en-US" sz="1400"/>
              <a:t>-202</a:t>
            </a:r>
            <a:r>
              <a:rPr lang="th-TH" sz="1400"/>
              <a:t>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kWh</a:t>
            </a:r>
          </a:p>
        </c:rich>
      </c:tx>
      <c:layout>
        <c:manualLayout>
          <c:xMode val="edge"/>
          <c:yMode val="edge"/>
          <c:x val="0.1302412540898141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kW'!$G$2:$G$3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kW'!$G$4:$G$15</c:f>
              <c:numCache>
                <c:formatCode>#,##0.00</c:formatCode>
                <c:ptCount val="12"/>
                <c:pt idx="0">
                  <c:v>31260</c:v>
                </c:pt>
                <c:pt idx="1">
                  <c:v>31760</c:v>
                </c:pt>
                <c:pt idx="2">
                  <c:v>34730</c:v>
                </c:pt>
                <c:pt idx="3">
                  <c:v>34750</c:v>
                </c:pt>
                <c:pt idx="4">
                  <c:v>27160</c:v>
                </c:pt>
                <c:pt idx="5">
                  <c:v>30910</c:v>
                </c:pt>
                <c:pt idx="6">
                  <c:v>25600</c:v>
                </c:pt>
                <c:pt idx="7">
                  <c:v>19170</c:v>
                </c:pt>
                <c:pt idx="8">
                  <c:v>30510</c:v>
                </c:pt>
                <c:pt idx="9">
                  <c:v>22640</c:v>
                </c:pt>
                <c:pt idx="10">
                  <c:v>20750</c:v>
                </c:pt>
                <c:pt idx="11">
                  <c:v>28550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FA-4911-8AAC-C25ECE7CB747}"/>
            </c:ext>
          </c:extLst>
        </c:ser>
        <c:ser>
          <c:idx val="1"/>
          <c:order val="1"/>
          <c:tx>
            <c:strRef>
              <c:f>'อาคารอำนวย ยศสุข 300 kW'!$H$2:$H$3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kW'!$H$4:$H$15</c:f>
              <c:numCache>
                <c:formatCode>#,##0.00</c:formatCode>
                <c:ptCount val="12"/>
                <c:pt idx="0">
                  <c:v>29210</c:v>
                </c:pt>
                <c:pt idx="1">
                  <c:v>25740</c:v>
                </c:pt>
                <c:pt idx="2">
                  <c:v>30510</c:v>
                </c:pt>
                <c:pt idx="3">
                  <c:v>28940</c:v>
                </c:pt>
                <c:pt idx="4">
                  <c:v>28140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FA-4911-8AAC-C25ECE7CB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2017-2018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kW'!$C$2:$C$3</c:f>
              <c:strCache>
                <c:ptCount val="2"/>
                <c:pt idx="0">
                  <c:v>หน่วย (2560)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kW'!$C$4:$C$15</c:f>
            </c:numRef>
          </c:val>
          <c:extLst>
            <c:ext xmlns:c16="http://schemas.microsoft.com/office/drawing/2014/chart" uri="{C3380CC4-5D6E-409C-BE32-E72D297353CC}">
              <c16:uniqueId val="{00000000-8265-41CB-AAA9-711BB88137A7}"/>
            </c:ext>
          </c:extLst>
        </c:ser>
        <c:ser>
          <c:idx val="1"/>
          <c:order val="1"/>
          <c:tx>
            <c:strRef>
              <c:f>'อาคารยรรยง สิทธิชัย 20 kW'!$D$2:$D$3</c:f>
              <c:strCache>
                <c:ptCount val="2"/>
                <c:pt idx="0">
                  <c:v>หน่วย (2561)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kW'!$D$4:$D$15</c:f>
            </c:numRef>
          </c:val>
          <c:extLst>
            <c:ext xmlns:c16="http://schemas.microsoft.com/office/drawing/2014/chart" uri="{C3380CC4-5D6E-409C-BE32-E72D297353CC}">
              <c16:uniqueId val="{00000002-8265-41CB-AAA9-711BB8813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2018-2019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kW'!$D$2:$D$3</c:f>
              <c:strCache>
                <c:ptCount val="2"/>
                <c:pt idx="0">
                  <c:v>หน่วย (2561)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kW'!$D$4:$D$15</c:f>
            </c:numRef>
          </c:val>
          <c:extLst>
            <c:ext xmlns:c16="http://schemas.microsoft.com/office/drawing/2014/chart" uri="{C3380CC4-5D6E-409C-BE32-E72D297353CC}">
              <c16:uniqueId val="{00000000-35C4-448B-BDAF-D5F4E77A0ED2}"/>
            </c:ext>
          </c:extLst>
        </c:ser>
        <c:ser>
          <c:idx val="1"/>
          <c:order val="1"/>
          <c:tx>
            <c:strRef>
              <c:f>'อาคารยรรยง สิทธิชัย 20 kW'!$E$2:$E$3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kW'!$E$4:$E$15</c:f>
            </c:numRef>
          </c:val>
          <c:extLst>
            <c:ext xmlns:c16="http://schemas.microsoft.com/office/drawing/2014/chart" uri="{C3380CC4-5D6E-409C-BE32-E72D297353CC}">
              <c16:uniqueId val="{00000002-35C4-448B-BDAF-D5F4E77A0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kW'!$E$2:$E$3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kW'!$E$4:$E$15</c:f>
            </c:numRef>
          </c:val>
          <c:extLst>
            <c:ext xmlns:c16="http://schemas.microsoft.com/office/drawing/2014/chart" uri="{C3380CC4-5D6E-409C-BE32-E72D297353CC}">
              <c16:uniqueId val="{00000000-14D6-4248-A334-D274C1CF7BED}"/>
            </c:ext>
          </c:extLst>
        </c:ser>
        <c:ser>
          <c:idx val="1"/>
          <c:order val="1"/>
          <c:tx>
            <c:strRef>
              <c:f>'อาคารยรรยง สิทธิชัย 20 kW'!$F$2:$F$3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kW'!$F$4:$F$15</c:f>
            </c:numRef>
          </c:val>
          <c:extLst>
            <c:ext xmlns:c16="http://schemas.microsoft.com/office/drawing/2014/chart" uri="{C3380CC4-5D6E-409C-BE32-E72D297353CC}">
              <c16:uniqueId val="{00000002-14D6-4248-A334-D274C1CF7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kW'!$F$2:$F$3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kW'!$F$4:$F$15</c:f>
            </c:numRef>
          </c:val>
          <c:extLst>
            <c:ext xmlns:c16="http://schemas.microsoft.com/office/drawing/2014/chart" uri="{C3380CC4-5D6E-409C-BE32-E72D297353CC}">
              <c16:uniqueId val="{00000000-9EE6-4548-9C31-799EE9D2C23C}"/>
            </c:ext>
          </c:extLst>
        </c:ser>
        <c:ser>
          <c:idx val="1"/>
          <c:order val="1"/>
          <c:tx>
            <c:strRef>
              <c:f>'อาคารยรรยง สิทธิชัย 20 kW'!$G$2:$G$3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kW'!$G$4:$G$14</c:f>
              <c:numCache>
                <c:formatCode>#,##0.00</c:formatCode>
                <c:ptCount val="11"/>
                <c:pt idx="0">
                  <c:v>1555.28</c:v>
                </c:pt>
                <c:pt idx="1">
                  <c:v>1602.62</c:v>
                </c:pt>
                <c:pt idx="2">
                  <c:v>1648.89</c:v>
                </c:pt>
                <c:pt idx="3">
                  <c:v>1577.48</c:v>
                </c:pt>
                <c:pt idx="4">
                  <c:v>1693.15</c:v>
                </c:pt>
                <c:pt idx="5">
                  <c:v>1393.42</c:v>
                </c:pt>
                <c:pt idx="6">
                  <c:v>1141.69</c:v>
                </c:pt>
                <c:pt idx="7">
                  <c:v>1487.8</c:v>
                </c:pt>
                <c:pt idx="8">
                  <c:v>1533.24</c:v>
                </c:pt>
                <c:pt idx="9">
                  <c:v>1459.91</c:v>
                </c:pt>
                <c:pt idx="10">
                  <c:v>1561.64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E6-4548-9C31-799EE9D2C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kW'!$G$2:$G$3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kW'!$G$4:$G$14</c:f>
              <c:numCache>
                <c:formatCode>#,##0.00</c:formatCode>
                <c:ptCount val="11"/>
                <c:pt idx="0">
                  <c:v>1555.28</c:v>
                </c:pt>
                <c:pt idx="1">
                  <c:v>1602.62</c:v>
                </c:pt>
                <c:pt idx="2">
                  <c:v>1648.89</c:v>
                </c:pt>
                <c:pt idx="3">
                  <c:v>1577.48</c:v>
                </c:pt>
                <c:pt idx="4">
                  <c:v>1693.15</c:v>
                </c:pt>
                <c:pt idx="5">
                  <c:v>1393.42</c:v>
                </c:pt>
                <c:pt idx="6">
                  <c:v>1141.69</c:v>
                </c:pt>
                <c:pt idx="7">
                  <c:v>1487.8</c:v>
                </c:pt>
                <c:pt idx="8">
                  <c:v>1533.24</c:v>
                </c:pt>
                <c:pt idx="9">
                  <c:v>1459.91</c:v>
                </c:pt>
                <c:pt idx="10">
                  <c:v>1561.64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1C-4C6D-8A8D-FC09FC0EABA6}"/>
            </c:ext>
          </c:extLst>
        </c:ser>
        <c:ser>
          <c:idx val="1"/>
          <c:order val="1"/>
          <c:tx>
            <c:strRef>
              <c:f>'อาคารยรรยง สิทธิชัย 20 kW'!$H$2:$H$3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kW'!$H$4:$H$15</c:f>
              <c:numCache>
                <c:formatCode>#,##0.00</c:formatCode>
                <c:ptCount val="12"/>
                <c:pt idx="0">
                  <c:v>1610.74</c:v>
                </c:pt>
                <c:pt idx="1">
                  <c:v>1652.2</c:v>
                </c:pt>
                <c:pt idx="2">
                  <c:v>1796.41</c:v>
                </c:pt>
                <c:pt idx="3">
                  <c:v>1206.68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1C-4C6D-8A8D-FC09FC0EA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2022-2023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kW'!$H$2:$H$3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kW'!$H$4:$H$15</c:f>
              <c:numCache>
                <c:formatCode>#,##0.00</c:formatCode>
                <c:ptCount val="12"/>
                <c:pt idx="0">
                  <c:v>1610.74</c:v>
                </c:pt>
                <c:pt idx="1">
                  <c:v>1652.2</c:v>
                </c:pt>
                <c:pt idx="2">
                  <c:v>1796.41</c:v>
                </c:pt>
                <c:pt idx="3">
                  <c:v>1206.68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6-4BD9-8038-45861E35C8CF}"/>
            </c:ext>
          </c:extLst>
        </c:ser>
        <c:ser>
          <c:idx val="1"/>
          <c:order val="1"/>
          <c:tx>
            <c:strRef>
              <c:f>'อาคารยรรยง สิทธิชัย 20 kW'!$I$2:$I$3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kW'!$I$4:$I$15</c:f>
              <c:numCache>
                <c:formatCode>#,##0.00</c:formatCode>
                <c:ptCount val="12"/>
                <c:pt idx="0">
                  <c:v>1075.95</c:v>
                </c:pt>
                <c:pt idx="1">
                  <c:v>1493.61</c:v>
                </c:pt>
                <c:pt idx="2">
                  <c:v>1566.98</c:v>
                </c:pt>
                <c:pt idx="3">
                  <c:v>1465.86</c:v>
                </c:pt>
                <c:pt idx="4">
                  <c:v>1557.61</c:v>
                </c:pt>
                <c:pt idx="5">
                  <c:v>261.67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B6-4BD9-8038-45861E35C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2023-2024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kW'!$I$2:$I$3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kW'!$I$4:$I$15</c:f>
              <c:numCache>
                <c:formatCode>#,##0.00</c:formatCode>
                <c:ptCount val="12"/>
                <c:pt idx="0">
                  <c:v>1075.95</c:v>
                </c:pt>
                <c:pt idx="1">
                  <c:v>1493.61</c:v>
                </c:pt>
                <c:pt idx="2">
                  <c:v>1566.98</c:v>
                </c:pt>
                <c:pt idx="3">
                  <c:v>1465.86</c:v>
                </c:pt>
                <c:pt idx="4">
                  <c:v>1557.61</c:v>
                </c:pt>
                <c:pt idx="5">
                  <c:v>261.67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BC-4ADD-9D49-77BAEAA3C3FA}"/>
            </c:ext>
          </c:extLst>
        </c:ser>
        <c:ser>
          <c:idx val="1"/>
          <c:order val="1"/>
          <c:tx>
            <c:strRef>
              <c:f>'อาคารยรรยง สิทธิชัย 20 kW'!$J$2:$J$3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kW'!$J$4:$J$15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BC-4ADD-9D49-77BAEAA3C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2018-2019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40'!$C$2:$C$3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40'!$C$4:$C$15</c:f>
            </c:numRef>
          </c:val>
          <c:extLst>
            <c:ext xmlns:c16="http://schemas.microsoft.com/office/drawing/2014/chart" uri="{C3380CC4-5D6E-409C-BE32-E72D297353CC}">
              <c16:uniqueId val="{00000000-718E-45D0-8B20-C4109C85FA69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40'!$D$4:$D$15</c:f>
            </c:numRef>
          </c:val>
          <c:extLst>
            <c:ext xmlns:c16="http://schemas.microsoft.com/office/drawing/2014/chart" uri="{C3380CC4-5D6E-409C-BE32-E72D297353CC}">
              <c16:uniqueId val="{00000002-718E-45D0-8B20-C4109C85F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kW'!$C$2:$C$3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kW'!$C$4:$C$15</c:f>
            </c:numRef>
          </c:val>
          <c:extLst>
            <c:ext xmlns:c16="http://schemas.microsoft.com/office/drawing/2014/chart" uri="{C3380CC4-5D6E-409C-BE32-E72D297353CC}">
              <c16:uniqueId val="{00000000-66D2-4335-B9CD-FBC4D3899598}"/>
            </c:ext>
          </c:extLst>
        </c:ser>
        <c:ser>
          <c:idx val="1"/>
          <c:order val="1"/>
          <c:tx>
            <c:strRef>
              <c:f>'อาคารสำนักงานมหาวิทยาลัย 110 kW'!$D$2:$D$3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kW'!$D$4:$D$15</c:f>
              <c:numCache>
                <c:formatCode>#,##0.00</c:formatCode>
                <c:ptCount val="12"/>
                <c:pt idx="0">
                  <c:v>8630</c:v>
                </c:pt>
                <c:pt idx="1">
                  <c:v>9270</c:v>
                </c:pt>
                <c:pt idx="2">
                  <c:v>9930</c:v>
                </c:pt>
                <c:pt idx="3">
                  <c:v>8250</c:v>
                </c:pt>
                <c:pt idx="4">
                  <c:v>2870</c:v>
                </c:pt>
                <c:pt idx="5">
                  <c:v>9940</c:v>
                </c:pt>
                <c:pt idx="6">
                  <c:v>9440</c:v>
                </c:pt>
                <c:pt idx="7">
                  <c:v>10220</c:v>
                </c:pt>
                <c:pt idx="8">
                  <c:v>9770</c:v>
                </c:pt>
                <c:pt idx="9">
                  <c:v>8800</c:v>
                </c:pt>
                <c:pt idx="10">
                  <c:v>9110</c:v>
                </c:pt>
                <c:pt idx="11">
                  <c:v>9300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D2-4335-B9CD-FBC4D3899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40'!$D$4:$D$15</c:f>
            </c:numRef>
          </c:val>
          <c:extLst>
            <c:ext xmlns:c16="http://schemas.microsoft.com/office/drawing/2014/chart" uri="{C3380CC4-5D6E-409C-BE32-E72D297353CC}">
              <c16:uniqueId val="{00000000-28BE-4DA4-8845-D5F3FBB43E9E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40'!$E$2:$E$3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40'!$E$4:$E$15</c:f>
            </c:numRef>
          </c:val>
          <c:extLst>
            <c:ext xmlns:c16="http://schemas.microsoft.com/office/drawing/2014/chart" uri="{C3380CC4-5D6E-409C-BE32-E72D297353CC}">
              <c16:uniqueId val="{00000002-28BE-4DA4-8845-D5F3FBB43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40'!$E$2:$E$3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40'!$E$4:$E$15</c:f>
            </c:numRef>
          </c:val>
          <c:extLst>
            <c:ext xmlns:c16="http://schemas.microsoft.com/office/drawing/2014/chart" uri="{C3380CC4-5D6E-409C-BE32-E72D297353CC}">
              <c16:uniqueId val="{00000000-93ED-4FF9-840A-F02B24277534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40'!$F$2:$F$3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40'!$F$4:$F$15</c:f>
              <c:numCache>
                <c:formatCode>#,##0.00</c:formatCode>
                <c:ptCount val="12"/>
                <c:pt idx="0">
                  <c:v>2107.5300000000002</c:v>
                </c:pt>
                <c:pt idx="1">
                  <c:v>2310.4299999999998</c:v>
                </c:pt>
                <c:pt idx="2">
                  <c:v>2744.75</c:v>
                </c:pt>
                <c:pt idx="3">
                  <c:v>2677.97</c:v>
                </c:pt>
                <c:pt idx="4">
                  <c:v>3153.01</c:v>
                </c:pt>
                <c:pt idx="5">
                  <c:v>2267.83</c:v>
                </c:pt>
                <c:pt idx="6">
                  <c:v>2031.45</c:v>
                </c:pt>
                <c:pt idx="7">
                  <c:v>1958.93</c:v>
                </c:pt>
                <c:pt idx="8">
                  <c:v>1688.58</c:v>
                </c:pt>
                <c:pt idx="9">
                  <c:v>1506.9</c:v>
                </c:pt>
                <c:pt idx="10">
                  <c:v>1364.08</c:v>
                </c:pt>
                <c:pt idx="11">
                  <c:v>1292.69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ED-4FF9-840A-F02B24277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40'!$F$2:$F$3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40'!$F$4:$F$15</c:f>
              <c:numCache>
                <c:formatCode>#,##0.00</c:formatCode>
                <c:ptCount val="12"/>
                <c:pt idx="0">
                  <c:v>2107.5300000000002</c:v>
                </c:pt>
                <c:pt idx="1">
                  <c:v>2310.4299999999998</c:v>
                </c:pt>
                <c:pt idx="2">
                  <c:v>2744.75</c:v>
                </c:pt>
                <c:pt idx="3">
                  <c:v>2677.97</c:v>
                </c:pt>
                <c:pt idx="4">
                  <c:v>3153.01</c:v>
                </c:pt>
                <c:pt idx="5">
                  <c:v>2267.83</c:v>
                </c:pt>
                <c:pt idx="6">
                  <c:v>2031.45</c:v>
                </c:pt>
                <c:pt idx="7">
                  <c:v>1958.93</c:v>
                </c:pt>
                <c:pt idx="8">
                  <c:v>1688.58</c:v>
                </c:pt>
                <c:pt idx="9">
                  <c:v>1506.9</c:v>
                </c:pt>
                <c:pt idx="10">
                  <c:v>1364.08</c:v>
                </c:pt>
                <c:pt idx="11">
                  <c:v>1292.69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48-40D4-AF6E-65A739F993F1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40'!$G$2:$G$3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40'!$G$4:$G$15</c:f>
              <c:numCache>
                <c:formatCode>#,##0.00</c:formatCode>
                <c:ptCount val="12"/>
                <c:pt idx="0">
                  <c:v>1399.55</c:v>
                </c:pt>
                <c:pt idx="1">
                  <c:v>1481.34</c:v>
                </c:pt>
                <c:pt idx="2">
                  <c:v>1947.01</c:v>
                </c:pt>
                <c:pt idx="3">
                  <c:v>2110.94</c:v>
                </c:pt>
                <c:pt idx="4">
                  <c:v>1978.75</c:v>
                </c:pt>
                <c:pt idx="5">
                  <c:v>1709.26</c:v>
                </c:pt>
                <c:pt idx="6">
                  <c:v>1528.22</c:v>
                </c:pt>
                <c:pt idx="7">
                  <c:v>1311.3</c:v>
                </c:pt>
                <c:pt idx="8">
                  <c:v>1057.1600000000001</c:v>
                </c:pt>
                <c:pt idx="9">
                  <c:v>979.04</c:v>
                </c:pt>
                <c:pt idx="10">
                  <c:v>873.74</c:v>
                </c:pt>
                <c:pt idx="11">
                  <c:v>725.98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48-40D4-AF6E-65A739F99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2</a:t>
            </a:r>
            <a:r>
              <a:rPr lang="en-US" sz="1400"/>
              <a:t>-202</a:t>
            </a:r>
            <a:r>
              <a:rPr lang="th-TH" sz="1400"/>
              <a:t>3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40'!$G$2:$G$3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40'!$G$4:$G$15</c:f>
              <c:numCache>
                <c:formatCode>#,##0.00</c:formatCode>
                <c:ptCount val="12"/>
                <c:pt idx="0">
                  <c:v>1399.55</c:v>
                </c:pt>
                <c:pt idx="1">
                  <c:v>1481.34</c:v>
                </c:pt>
                <c:pt idx="2">
                  <c:v>1947.01</c:v>
                </c:pt>
                <c:pt idx="3">
                  <c:v>2110.94</c:v>
                </c:pt>
                <c:pt idx="4">
                  <c:v>1978.75</c:v>
                </c:pt>
                <c:pt idx="5">
                  <c:v>1709.26</c:v>
                </c:pt>
                <c:pt idx="6">
                  <c:v>1528.22</c:v>
                </c:pt>
                <c:pt idx="7">
                  <c:v>1311.3</c:v>
                </c:pt>
                <c:pt idx="8">
                  <c:v>1057.1600000000001</c:v>
                </c:pt>
                <c:pt idx="9">
                  <c:v>979.04</c:v>
                </c:pt>
                <c:pt idx="10">
                  <c:v>873.74</c:v>
                </c:pt>
                <c:pt idx="11">
                  <c:v>725.98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2-47A4-AA8D-42F404B8D752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40'!$H$2:$H$3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40'!$H$4:$H$15</c:f>
              <c:numCache>
                <c:formatCode>#,##0.00</c:formatCode>
                <c:ptCount val="12"/>
                <c:pt idx="0">
                  <c:v>788.25</c:v>
                </c:pt>
                <c:pt idx="1">
                  <c:v>914.15</c:v>
                </c:pt>
                <c:pt idx="2">
                  <c:v>108.81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2-47A4-AA8D-42F404B8D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2023-2024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40'!$H$2:$H$3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40'!$H$4:$H$15</c:f>
              <c:numCache>
                <c:formatCode>#,##0.00</c:formatCode>
                <c:ptCount val="12"/>
                <c:pt idx="0">
                  <c:v>788.25</c:v>
                </c:pt>
                <c:pt idx="1">
                  <c:v>914.15</c:v>
                </c:pt>
                <c:pt idx="2">
                  <c:v>108.81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B5-4860-96DF-36B94C85A3F4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40'!$I$2:$I$3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40'!$I$4:$I$15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B5-4860-96DF-36B94C85A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2018-2019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kW'!$C$2:$C$3</c:f>
              <c:strCache>
                <c:ptCount val="2"/>
                <c:pt idx="0">
                  <c:v>หน่วย (2561)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kW'!$C$4:$C$15</c:f>
            </c:numRef>
          </c:val>
          <c:extLst>
            <c:ext xmlns:c16="http://schemas.microsoft.com/office/drawing/2014/chart" uri="{C3380CC4-5D6E-409C-BE32-E72D297353CC}">
              <c16:uniqueId val="{00000000-1391-4D3B-AED5-38144E632199}"/>
            </c:ext>
          </c:extLst>
        </c:ser>
        <c:ser>
          <c:idx val="1"/>
          <c:order val="1"/>
          <c:tx>
            <c:strRef>
              <c:f>'วิทยาลัยพลังงานทดแทน 300 kW'!$D$2:$D$3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kW'!$D$4:$D$15</c:f>
            </c:numRef>
          </c:val>
          <c:extLst>
            <c:ext xmlns:c16="http://schemas.microsoft.com/office/drawing/2014/chart" uri="{C3380CC4-5D6E-409C-BE32-E72D297353CC}">
              <c16:uniqueId val="{00000001-1391-4D3B-AED5-38144E632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kW'!$D$4:$D$15</c:f>
            </c:numRef>
          </c:val>
          <c:extLst>
            <c:ext xmlns:c16="http://schemas.microsoft.com/office/drawing/2014/chart" uri="{C3380CC4-5D6E-409C-BE32-E72D297353CC}">
              <c16:uniqueId val="{00000000-D340-4DA2-BF09-275509C00929}"/>
            </c:ext>
          </c:extLst>
        </c:ser>
        <c:ser>
          <c:idx val="1"/>
          <c:order val="1"/>
          <c:tx>
            <c:strRef>
              <c:f>'วิทยาลัยพลังงานทดแทน 300 kW'!$E$2:$E$3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kW'!$E$4:$E$15</c:f>
            </c:numRef>
          </c:val>
          <c:extLst>
            <c:ext xmlns:c16="http://schemas.microsoft.com/office/drawing/2014/chart" uri="{C3380CC4-5D6E-409C-BE32-E72D297353CC}">
              <c16:uniqueId val="{00000001-D340-4DA2-BF09-275509C00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kW'!$E$2:$E$3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kW'!$E$4:$E$15</c:f>
            </c:numRef>
          </c:val>
          <c:extLst>
            <c:ext xmlns:c16="http://schemas.microsoft.com/office/drawing/2014/chart" uri="{C3380CC4-5D6E-409C-BE32-E72D297353CC}">
              <c16:uniqueId val="{00000000-613A-419F-B3BF-4784CA71A6EE}"/>
            </c:ext>
          </c:extLst>
        </c:ser>
        <c:ser>
          <c:idx val="1"/>
          <c:order val="1"/>
          <c:tx>
            <c:strRef>
              <c:f>'วิทยาลัยพลังงานทดแทน 300 kW'!$F$2:$F$3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kW'!$F$4:$F$15</c:f>
              <c:numCache>
                <c:formatCode>#,##0.00</c:formatCode>
                <c:ptCount val="12"/>
                <c:pt idx="0">
                  <c:v>27100</c:v>
                </c:pt>
                <c:pt idx="1">
                  <c:v>29300</c:v>
                </c:pt>
                <c:pt idx="2">
                  <c:v>27812</c:v>
                </c:pt>
                <c:pt idx="3">
                  <c:v>27247</c:v>
                </c:pt>
                <c:pt idx="4">
                  <c:v>32824</c:v>
                </c:pt>
                <c:pt idx="5">
                  <c:v>29334</c:v>
                </c:pt>
                <c:pt idx="6">
                  <c:v>20835</c:v>
                </c:pt>
                <c:pt idx="7">
                  <c:v>25238</c:v>
                </c:pt>
                <c:pt idx="8">
                  <c:v>29076</c:v>
                </c:pt>
                <c:pt idx="9">
                  <c:v>28371</c:v>
                </c:pt>
                <c:pt idx="10">
                  <c:v>28898</c:v>
                </c:pt>
                <c:pt idx="11">
                  <c:v>28517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3A-419F-B3BF-4784CA71A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kW'!$F$2:$F$3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kW'!$F$4:$F$15</c:f>
              <c:numCache>
                <c:formatCode>#,##0.00</c:formatCode>
                <c:ptCount val="12"/>
                <c:pt idx="0">
                  <c:v>27100</c:v>
                </c:pt>
                <c:pt idx="1">
                  <c:v>29300</c:v>
                </c:pt>
                <c:pt idx="2">
                  <c:v>27812</c:v>
                </c:pt>
                <c:pt idx="3">
                  <c:v>27247</c:v>
                </c:pt>
                <c:pt idx="4">
                  <c:v>32824</c:v>
                </c:pt>
                <c:pt idx="5">
                  <c:v>29334</c:v>
                </c:pt>
                <c:pt idx="6">
                  <c:v>20835</c:v>
                </c:pt>
                <c:pt idx="7">
                  <c:v>25238</c:v>
                </c:pt>
                <c:pt idx="8">
                  <c:v>29076</c:v>
                </c:pt>
                <c:pt idx="9">
                  <c:v>28371</c:v>
                </c:pt>
                <c:pt idx="10">
                  <c:v>28898</c:v>
                </c:pt>
                <c:pt idx="11">
                  <c:v>28517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E9-48CB-86F1-9FB3B5A239AE}"/>
            </c:ext>
          </c:extLst>
        </c:ser>
        <c:ser>
          <c:idx val="1"/>
          <c:order val="1"/>
          <c:tx>
            <c:strRef>
              <c:f>'วิทยาลัยพลังงานทดแทน 300 kW'!$G$2:$G$3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kW'!$G$4:$G$15</c:f>
              <c:numCache>
                <c:formatCode>#,##0.00</c:formatCode>
                <c:ptCount val="12"/>
                <c:pt idx="0">
                  <c:v>28948</c:v>
                </c:pt>
                <c:pt idx="1">
                  <c:v>22892</c:v>
                </c:pt>
                <c:pt idx="2">
                  <c:v>29856</c:v>
                </c:pt>
                <c:pt idx="3">
                  <c:v>45779</c:v>
                </c:pt>
                <c:pt idx="4">
                  <c:v>28953</c:v>
                </c:pt>
                <c:pt idx="5">
                  <c:v>35882</c:v>
                </c:pt>
                <c:pt idx="6">
                  <c:v>24988</c:v>
                </c:pt>
                <c:pt idx="7">
                  <c:v>33456</c:v>
                </c:pt>
                <c:pt idx="8">
                  <c:v>26386</c:v>
                </c:pt>
                <c:pt idx="9">
                  <c:v>31113</c:v>
                </c:pt>
                <c:pt idx="10">
                  <c:v>37068</c:v>
                </c:pt>
                <c:pt idx="11">
                  <c:v>47603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E9-48CB-86F1-9FB3B5A23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2</a:t>
            </a:r>
            <a:r>
              <a:rPr lang="en-US" sz="1400"/>
              <a:t>-202</a:t>
            </a:r>
            <a:r>
              <a:rPr lang="th-TH" sz="1400"/>
              <a:t>3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kW'!$G$2:$G$3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kW'!$G$4:$G$15</c:f>
              <c:numCache>
                <c:formatCode>#,##0.00</c:formatCode>
                <c:ptCount val="12"/>
                <c:pt idx="0">
                  <c:v>28948</c:v>
                </c:pt>
                <c:pt idx="1">
                  <c:v>22892</c:v>
                </c:pt>
                <c:pt idx="2">
                  <c:v>29856</c:v>
                </c:pt>
                <c:pt idx="3">
                  <c:v>45779</c:v>
                </c:pt>
                <c:pt idx="4">
                  <c:v>28953</c:v>
                </c:pt>
                <c:pt idx="5">
                  <c:v>35882</c:v>
                </c:pt>
                <c:pt idx="6">
                  <c:v>24988</c:v>
                </c:pt>
                <c:pt idx="7">
                  <c:v>33456</c:v>
                </c:pt>
                <c:pt idx="8">
                  <c:v>26386</c:v>
                </c:pt>
                <c:pt idx="9">
                  <c:v>31113</c:v>
                </c:pt>
                <c:pt idx="10">
                  <c:v>37068</c:v>
                </c:pt>
                <c:pt idx="11">
                  <c:v>47603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7B-49D2-A7AD-D61D97EE9A6D}"/>
            </c:ext>
          </c:extLst>
        </c:ser>
        <c:ser>
          <c:idx val="1"/>
          <c:order val="1"/>
          <c:tx>
            <c:strRef>
              <c:f>'วิทยาลัยพลังงานทดแทน 300 kW'!$H$2:$H$3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kW'!$H$4:$H$15</c:f>
              <c:numCache>
                <c:formatCode>#,##0.00</c:formatCode>
                <c:ptCount val="12"/>
                <c:pt idx="0">
                  <c:v>28616</c:v>
                </c:pt>
                <c:pt idx="1">
                  <c:v>28285</c:v>
                </c:pt>
                <c:pt idx="2">
                  <c:v>31184</c:v>
                </c:pt>
                <c:pt idx="3">
                  <c:v>32201</c:v>
                </c:pt>
                <c:pt idx="4">
                  <c:v>35222</c:v>
                </c:pt>
                <c:pt idx="5">
                  <c:v>34042</c:v>
                </c:pt>
                <c:pt idx="6">
                  <c:v>39511</c:v>
                </c:pt>
                <c:pt idx="7">
                  <c:v>26899</c:v>
                </c:pt>
                <c:pt idx="8">
                  <c:v>28017</c:v>
                </c:pt>
                <c:pt idx="9">
                  <c:v>0</c:v>
                </c:pt>
                <c:pt idx="10">
                  <c:v>0</c:v>
                </c:pt>
                <c:pt idx="11">
                  <c:v>28027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7B-49D2-A7AD-D61D97EE9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kW'!$D$2:$D$3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kW'!$D$4:$D$15</c:f>
              <c:numCache>
                <c:formatCode>#,##0.00</c:formatCode>
                <c:ptCount val="12"/>
                <c:pt idx="0">
                  <c:v>8630</c:v>
                </c:pt>
                <c:pt idx="1">
                  <c:v>9270</c:v>
                </c:pt>
                <c:pt idx="2">
                  <c:v>9930</c:v>
                </c:pt>
                <c:pt idx="3">
                  <c:v>8250</c:v>
                </c:pt>
                <c:pt idx="4">
                  <c:v>2870</c:v>
                </c:pt>
                <c:pt idx="5">
                  <c:v>9940</c:v>
                </c:pt>
                <c:pt idx="6">
                  <c:v>9440</c:v>
                </c:pt>
                <c:pt idx="7">
                  <c:v>10220</c:v>
                </c:pt>
                <c:pt idx="8">
                  <c:v>9770</c:v>
                </c:pt>
                <c:pt idx="9">
                  <c:v>8800</c:v>
                </c:pt>
                <c:pt idx="10">
                  <c:v>9110</c:v>
                </c:pt>
                <c:pt idx="11">
                  <c:v>9300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2B-4B35-9F2E-062FAF4B8926}"/>
            </c:ext>
          </c:extLst>
        </c:ser>
        <c:ser>
          <c:idx val="1"/>
          <c:order val="1"/>
          <c:tx>
            <c:strRef>
              <c:f>'อาคารสำนักงานมหาวิทยาลัย 110 kW'!$E$2:$E$3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kW'!$E$4:$E$15</c:f>
              <c:numCache>
                <c:formatCode>#,##0.00</c:formatCode>
                <c:ptCount val="12"/>
                <c:pt idx="0">
                  <c:v>9560</c:v>
                </c:pt>
                <c:pt idx="1">
                  <c:v>9480</c:v>
                </c:pt>
                <c:pt idx="2">
                  <c:v>11000</c:v>
                </c:pt>
                <c:pt idx="3">
                  <c:v>10800</c:v>
                </c:pt>
                <c:pt idx="4">
                  <c:v>10840</c:v>
                </c:pt>
                <c:pt idx="5">
                  <c:v>10340</c:v>
                </c:pt>
                <c:pt idx="6">
                  <c:v>9860</c:v>
                </c:pt>
                <c:pt idx="7">
                  <c:v>9970</c:v>
                </c:pt>
                <c:pt idx="8">
                  <c:v>8870</c:v>
                </c:pt>
                <c:pt idx="9">
                  <c:v>8950</c:v>
                </c:pt>
                <c:pt idx="10">
                  <c:v>8920</c:v>
                </c:pt>
                <c:pt idx="11">
                  <c:v>8260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2B-4B35-9F2E-062FAF4B8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4</a:t>
            </a:r>
            <a:r>
              <a:rPr lang="en-US" sz="1400"/>
              <a:t>-202</a:t>
            </a:r>
            <a:r>
              <a:rPr lang="th-TH" sz="1400"/>
              <a:t>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kW'!$I$2:$I$3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kW'!$I$4:$I$15</c:f>
              <c:numCache>
                <c:formatCode>#,##0.00</c:formatCode>
                <c:ptCount val="12"/>
                <c:pt idx="0">
                  <c:v>16787</c:v>
                </c:pt>
                <c:pt idx="1">
                  <c:v>27826</c:v>
                </c:pt>
                <c:pt idx="2">
                  <c:v>29018</c:v>
                </c:pt>
                <c:pt idx="3">
                  <c:v>82867</c:v>
                </c:pt>
                <c:pt idx="4">
                  <c:v>8424</c:v>
                </c:pt>
                <c:pt idx="5">
                  <c:v>16787</c:v>
                </c:pt>
                <c:pt idx="6">
                  <c:v>9107.1299999999992</c:v>
                </c:pt>
                <c:pt idx="7">
                  <c:v>10634.56</c:v>
                </c:pt>
                <c:pt idx="8">
                  <c:v>10285.629999999999</c:v>
                </c:pt>
                <c:pt idx="9">
                  <c:v>8798.56</c:v>
                </c:pt>
                <c:pt idx="10">
                  <c:v>7168.79</c:v>
                </c:pt>
                <c:pt idx="11">
                  <c:v>7386.37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D2-4B89-AEA0-09F771E8DCD0}"/>
            </c:ext>
          </c:extLst>
        </c:ser>
        <c:ser>
          <c:idx val="1"/>
          <c:order val="1"/>
          <c:tx>
            <c:strRef>
              <c:f>'วิทยาลัยพลังงานทดแทน 300 kW'!$J$2:$J$3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kW'!$J$4:$J$15</c:f>
              <c:numCache>
                <c:formatCode>#,##0.00</c:formatCode>
                <c:ptCount val="12"/>
                <c:pt idx="0">
                  <c:v>4699.17</c:v>
                </c:pt>
                <c:pt idx="1">
                  <c:v>2272.46</c:v>
                </c:pt>
                <c:pt idx="2">
                  <c:v>4131.3900000000003</c:v>
                </c:pt>
                <c:pt idx="3">
                  <c:v>3752.9300000000003</c:v>
                </c:pt>
                <c:pt idx="4">
                  <c:v>3090.35</c:v>
                </c:pt>
                <c:pt idx="5">
                  <c:v>5211.7000000000007</c:v>
                </c:pt>
                <c:pt idx="6">
                  <c:v>6736.52</c:v>
                </c:pt>
                <c:pt idx="7">
                  <c:v>3271.75</c:v>
                </c:pt>
                <c:pt idx="8">
                  <c:v>7300.36</c:v>
                </c:pt>
                <c:pt idx="9">
                  <c:v>4069.13</c:v>
                </c:pt>
                <c:pt idx="10">
                  <c:v>1235.8</c:v>
                </c:pt>
                <c:pt idx="11">
                  <c:v>2607.39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D2-4B89-AEA0-09F771E8D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2017-2018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สนามกีฬาอินทนิล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'สนามกีฬาอินทนิล 40 kW '!$B$2:$B$3</c:f>
              <c:strCache>
                <c:ptCount val="2"/>
                <c:pt idx="0">
                  <c:v>หน่วย (2560)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'!$B$4:$B$15</c:f>
            </c:numRef>
          </c:val>
          <c:extLst>
            <c:ext xmlns:c16="http://schemas.microsoft.com/office/drawing/2014/chart" uri="{C3380CC4-5D6E-409C-BE32-E72D297353CC}">
              <c16:uniqueId val="{00000000-1B8A-4923-B8EB-4026A0AAC83A}"/>
            </c:ext>
          </c:extLst>
        </c:ser>
        <c:ser>
          <c:idx val="1"/>
          <c:order val="1"/>
          <c:tx>
            <c:strRef>
              <c:f>'สนามกีฬาอินทนิล 40 kW '!$C$2:$C$3</c:f>
              <c:strCache>
                <c:ptCount val="2"/>
                <c:pt idx="0">
                  <c:v>หน่วย (2561)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'!$C$4:$C$15</c:f>
            </c:numRef>
          </c:val>
          <c:extLst>
            <c:ext xmlns:c16="http://schemas.microsoft.com/office/drawing/2014/chart" uri="{C3380CC4-5D6E-409C-BE32-E72D297353CC}">
              <c16:uniqueId val="{00000001-1B8A-4923-B8EB-4026A0AAC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2018-2019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สนามกีฬาอินทนิล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'สนามกีฬาอินทนิล 40 kW '!$C$2:$C$3</c:f>
              <c:strCache>
                <c:ptCount val="2"/>
                <c:pt idx="0">
                  <c:v>หน่วย (2561)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'!$C$4:$C$15</c:f>
            </c:numRef>
          </c:val>
          <c:extLst>
            <c:ext xmlns:c16="http://schemas.microsoft.com/office/drawing/2014/chart" uri="{C3380CC4-5D6E-409C-BE32-E72D297353CC}">
              <c16:uniqueId val="{00000000-6D4C-4795-BB0A-FF6E26E2BEA8}"/>
            </c:ext>
          </c:extLst>
        </c:ser>
        <c:ser>
          <c:idx val="1"/>
          <c:order val="1"/>
          <c:tx>
            <c:strRef>
              <c:f>'สนามกีฬาอินทนิล 40 kW 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'!$D$4:$D$15</c:f>
            </c:numRef>
          </c:val>
          <c:extLst>
            <c:ext xmlns:c16="http://schemas.microsoft.com/office/drawing/2014/chart" uri="{C3380CC4-5D6E-409C-BE32-E72D297353CC}">
              <c16:uniqueId val="{00000002-6D4C-4795-BB0A-FF6E26E2B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สนามกีฬาอินทนิล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'สนามกีฬาอินทนิล 40 kW 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'!$D$4:$D$15</c:f>
            </c:numRef>
          </c:val>
          <c:extLst>
            <c:ext xmlns:c16="http://schemas.microsoft.com/office/drawing/2014/chart" uri="{C3380CC4-5D6E-409C-BE32-E72D297353CC}">
              <c16:uniqueId val="{00000000-7422-4F61-95DA-123768B15804}"/>
            </c:ext>
          </c:extLst>
        </c:ser>
        <c:ser>
          <c:idx val="1"/>
          <c:order val="1"/>
          <c:tx>
            <c:strRef>
              <c:f>'สนามกีฬาอินทนิล 40 kW '!$E$2:$E$3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'!$E$4:$E$15</c:f>
            </c:numRef>
          </c:val>
          <c:extLst>
            <c:ext xmlns:c16="http://schemas.microsoft.com/office/drawing/2014/chart" uri="{C3380CC4-5D6E-409C-BE32-E72D297353CC}">
              <c16:uniqueId val="{00000002-7422-4F61-95DA-123768B15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2024-2025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อาคารหอพักอุดมศิลป์</a:t>
            </a:r>
            <a:r>
              <a:rPr lang="th-TH" sz="1400" baseline="0"/>
              <a:t> 80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7259474452170942"/>
          <c:y val="2.1551866827457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'อาคารหอพักอุดมศิลป์ 80 kW'!$B$2:$B$3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kW'!$B$4:$B$15</c:f>
              <c:numCache>
                <c:formatCode>#,##0.00</c:formatCode>
                <c:ptCount val="12"/>
                <c:pt idx="0">
                  <c:v>7144.960000000021</c:v>
                </c:pt>
                <c:pt idx="1">
                  <c:v>4787.640000000014</c:v>
                </c:pt>
                <c:pt idx="2">
                  <c:v>2561.7999999999884</c:v>
                </c:pt>
                <c:pt idx="3">
                  <c:v>3256</c:v>
                </c:pt>
                <c:pt idx="4">
                  <c:v>7305</c:v>
                </c:pt>
                <c:pt idx="5">
                  <c:v>6160.7600000000093</c:v>
                </c:pt>
                <c:pt idx="6">
                  <c:v>5495.2399999999907</c:v>
                </c:pt>
                <c:pt idx="7">
                  <c:v>5955.5599999999977</c:v>
                </c:pt>
                <c:pt idx="8">
                  <c:v>6748.8800000000047</c:v>
                </c:pt>
                <c:pt idx="9">
                  <c:v>7028.6399999999558</c:v>
                </c:pt>
                <c:pt idx="10">
                  <c:v>5459.9200000000419</c:v>
                </c:pt>
                <c:pt idx="11">
                  <c:v>7155.8399999999674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B5-4255-B171-7E82BE6588F0}"/>
            </c:ext>
          </c:extLst>
        </c:ser>
        <c:ser>
          <c:idx val="1"/>
          <c:order val="1"/>
          <c:tx>
            <c:strRef>
              <c:f>'อาคารหอพักอุดมศิลป์ 80 kW'!$C$2:$C$3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kW'!$C$4:$C$15</c:f>
              <c:numCache>
                <c:formatCode>#,##0.00</c:formatCode>
                <c:ptCount val="12"/>
                <c:pt idx="0">
                  <c:v>6838.7200000000303</c:v>
                </c:pt>
                <c:pt idx="1">
                  <c:v>5243.9599999999627</c:v>
                </c:pt>
                <c:pt idx="2">
                  <c:v>11390.680000000051</c:v>
                </c:pt>
                <c:pt idx="3">
                  <c:v>6748.8399999999674</c:v>
                </c:pt>
                <c:pt idx="4">
                  <c:v>6964.5999999999767</c:v>
                </c:pt>
                <c:pt idx="5">
                  <c:v>5814.0400000000373</c:v>
                </c:pt>
                <c:pt idx="6">
                  <c:v>6021.6799999999348</c:v>
                </c:pt>
                <c:pt idx="7">
                  <c:v>5583.8800000000047</c:v>
                </c:pt>
                <c:pt idx="8">
                  <c:v>5886.2800000000279</c:v>
                </c:pt>
                <c:pt idx="9">
                  <c:v>8185.8000000000466</c:v>
                </c:pt>
                <c:pt idx="10">
                  <c:v>4551.4000000000233</c:v>
                </c:pt>
                <c:pt idx="11">
                  <c:v>7786.5199999999022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B5-4255-B171-7E82BE658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2024</a:t>
            </a:r>
            <a:r>
              <a:rPr lang="en-US" sz="1400"/>
              <a:t>-</a:t>
            </a:r>
            <a:r>
              <a:rPr lang="th-TH" sz="1400"/>
              <a:t>2025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อาคารหอพักอุดมศิลป์ 80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'อาคารหอพักอุดมศิลป์ 80 kW'!$C$2:$C$3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kW'!$C$4:$C$15</c:f>
              <c:numCache>
                <c:formatCode>#,##0.00</c:formatCode>
                <c:ptCount val="12"/>
                <c:pt idx="0">
                  <c:v>6838.7200000000303</c:v>
                </c:pt>
                <c:pt idx="1">
                  <c:v>5243.9599999999627</c:v>
                </c:pt>
                <c:pt idx="2">
                  <c:v>11390.680000000051</c:v>
                </c:pt>
                <c:pt idx="3">
                  <c:v>6748.8399999999674</c:v>
                </c:pt>
                <c:pt idx="4">
                  <c:v>6964.5999999999767</c:v>
                </c:pt>
                <c:pt idx="5">
                  <c:v>5814.0400000000373</c:v>
                </c:pt>
                <c:pt idx="6">
                  <c:v>6021.6799999999348</c:v>
                </c:pt>
                <c:pt idx="7">
                  <c:v>5583.8800000000047</c:v>
                </c:pt>
                <c:pt idx="8">
                  <c:v>5886.2800000000279</c:v>
                </c:pt>
                <c:pt idx="9">
                  <c:v>8185.8000000000466</c:v>
                </c:pt>
                <c:pt idx="10">
                  <c:v>4551.4000000000233</c:v>
                </c:pt>
                <c:pt idx="11">
                  <c:v>7786.5199999999022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CE-4CA2-AABD-019C73F5BAF0}"/>
            </c:ext>
          </c:extLst>
        </c:ser>
        <c:ser>
          <c:idx val="1"/>
          <c:order val="1"/>
          <c:tx>
            <c:strRef>
              <c:f>'อาคารหอพักอุดมศิลป์ 80 kW'!$D$2:$D$3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kW'!$D$4:$D$15</c:f>
              <c:numCache>
                <c:formatCode>#,##0.00</c:formatCode>
                <c:ptCount val="12"/>
                <c:pt idx="0">
                  <c:v>10494.080000000075</c:v>
                </c:pt>
                <c:pt idx="1">
                  <c:v>8751.5999999999767</c:v>
                </c:pt>
                <c:pt idx="2">
                  <c:v>4523</c:v>
                </c:pt>
                <c:pt idx="3">
                  <c:v>5051</c:v>
                </c:pt>
                <c:pt idx="4">
                  <c:v>6710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73-4D01-B6FD-D30F5F9C8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5</a:t>
            </a:r>
            <a:r>
              <a:rPr lang="en-US" sz="1400"/>
              <a:t>-202</a:t>
            </a:r>
            <a:r>
              <a:rPr lang="th-TH" sz="1400"/>
              <a:t>6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'อาคารหอพักอุดมศิลป์ 80 kW'!$D$2</c:f>
              <c:strCache>
                <c:ptCount val="1"/>
                <c:pt idx="0">
                  <c:v>หน่วย  (2569)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kW'!$D$3:$D$15</c:f>
              <c:numCache>
                <c:formatCode>#,##0.00</c:formatCode>
                <c:ptCount val="13"/>
                <c:pt idx="0" formatCode="General">
                  <c:v>0</c:v>
                </c:pt>
                <c:pt idx="1">
                  <c:v>10494.080000000075</c:v>
                </c:pt>
                <c:pt idx="2">
                  <c:v>8751.5999999999767</c:v>
                </c:pt>
                <c:pt idx="3">
                  <c:v>4523</c:v>
                </c:pt>
                <c:pt idx="4">
                  <c:v>5051</c:v>
                </c:pt>
                <c:pt idx="5">
                  <c:v>6710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96-471C-8FB2-D863CF1752A3}"/>
            </c:ext>
          </c:extLst>
        </c:ser>
        <c:ser>
          <c:idx val="1"/>
          <c:order val="1"/>
          <c:tx>
            <c:strRef>
              <c:f>'อาคารหอพักอุดมศิลป์ 80 kW'!$E$2</c:f>
              <c:strCache>
                <c:ptCount val="1"/>
                <c:pt idx="0">
                  <c:v>หน่วย  (2570)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kW'!$E$3:$E$15</c:f>
              <c:numCache>
                <c:formatCode>#,##0.00</c:formatCode>
                <c:ptCount val="13"/>
                <c:pt idx="0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86-41F0-910E-EC441671C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6</a:t>
            </a:r>
            <a:r>
              <a:rPr lang="en-US" sz="1400"/>
              <a:t>-202</a:t>
            </a:r>
            <a:r>
              <a:rPr lang="th-TH" sz="1400"/>
              <a:t>7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</a:t>
            </a:r>
            <a:r>
              <a:rPr lang="th-TH" sz="1400" b="0" i="0" u="none" strike="noStrike" baseline="0">
                <a:effectLst/>
              </a:rPr>
              <a:t>หอพักอุดมศิลป์ 80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3940775260235327"/>
          <c:y val="3.2813128088718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'อาคารหอพักอุดมศิลป์ 80 kW'!$D$2:$D$3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kW'!$D$4:$D$15</c:f>
              <c:numCache>
                <c:formatCode>#,##0.00</c:formatCode>
                <c:ptCount val="12"/>
                <c:pt idx="0">
                  <c:v>10494.080000000075</c:v>
                </c:pt>
                <c:pt idx="1">
                  <c:v>8751.5999999999767</c:v>
                </c:pt>
                <c:pt idx="2">
                  <c:v>4523</c:v>
                </c:pt>
                <c:pt idx="3">
                  <c:v>5051</c:v>
                </c:pt>
                <c:pt idx="4">
                  <c:v>6710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97-4F59-B360-ABB3BDA1A9DC}"/>
            </c:ext>
          </c:extLst>
        </c:ser>
        <c:ser>
          <c:idx val="1"/>
          <c:order val="1"/>
          <c:tx>
            <c:strRef>
              <c:f>'อาคารหอพักอุดมศิลป์ 80 kW'!$E$2:$E$3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D676-48C1-BC9F-8BB29E0F6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</a:t>
            </a:r>
            <a:r>
              <a:rPr lang="en-US" sz="1400"/>
              <a:t>568</a:t>
            </a:r>
            <a:r>
              <a:rPr lang="th-TH" sz="1400"/>
              <a:t>-2</a:t>
            </a:r>
            <a:r>
              <a:rPr lang="en-US" sz="1400"/>
              <a:t>569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  <a:r>
              <a:rPr lang="th-TH" sz="1400"/>
              <a:t> </a:t>
            </a:r>
            <a:endParaRPr lang="en-US" sz="1400"/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'อาคารระบบประปา 20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'!$C$4:$C$15</c:f>
              <c:numCache>
                <c:formatCode>#,##0.00</c:formatCode>
                <c:ptCount val="12"/>
                <c:pt idx="0">
                  <c:v>77.2</c:v>
                </c:pt>
                <c:pt idx="1">
                  <c:v>79</c:v>
                </c:pt>
                <c:pt idx="2">
                  <c:v>80.8</c:v>
                </c:pt>
                <c:pt idx="3">
                  <c:v>83.3</c:v>
                </c:pt>
                <c:pt idx="4">
                  <c:v>85.34</c:v>
                </c:pt>
                <c:pt idx="5">
                  <c:v>87.03</c:v>
                </c:pt>
                <c:pt idx="6">
                  <c:v>88.59</c:v>
                </c:pt>
                <c:pt idx="7">
                  <c:v>90.15</c:v>
                </c:pt>
                <c:pt idx="8">
                  <c:v>92.48</c:v>
                </c:pt>
                <c:pt idx="9">
                  <c:v>94.04</c:v>
                </c:pt>
                <c:pt idx="10">
                  <c:v>95.45</c:v>
                </c:pt>
                <c:pt idx="11" formatCode="General">
                  <c:v>97.18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D-447E-B699-269411D9654B}"/>
            </c:ext>
          </c:extLst>
        </c:ser>
        <c:ser>
          <c:idx val="1"/>
          <c:order val="1"/>
          <c:tx>
            <c:strRef>
              <c:f>'อาคารระบบประปา 20 kW 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'!$D$4:$D$15</c:f>
              <c:numCache>
                <c:formatCode>#,##0.00</c:formatCode>
                <c:ptCount val="12"/>
                <c:pt idx="0">
                  <c:v>99.13</c:v>
                </c:pt>
                <c:pt idx="1">
                  <c:v>100.68</c:v>
                </c:pt>
                <c:pt idx="2">
                  <c:v>102.5</c:v>
                </c:pt>
                <c:pt idx="3">
                  <c:v>102.5</c:v>
                </c:pt>
                <c:pt idx="4">
                  <c:v>104.01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80-406C-92D2-F21155125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2024</a:t>
            </a:r>
            <a:r>
              <a:rPr lang="en-US" sz="1400"/>
              <a:t>-</a:t>
            </a:r>
            <a:r>
              <a:rPr lang="th-TH" sz="1400"/>
              <a:t>2025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6.1298236480770485E-2"/>
          <c:y val="2.1551866827457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'อาคารระบบประปา 20 kW '!$B$2:$B$3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'!$B$4:$B$15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58.46</c:v>
                </c:pt>
                <c:pt idx="3">
                  <c:v>60.76</c:v>
                </c:pt>
                <c:pt idx="4">
                  <c:v>62.8</c:v>
                </c:pt>
                <c:pt idx="5">
                  <c:v>64</c:v>
                </c:pt>
                <c:pt idx="6">
                  <c:v>66.7</c:v>
                </c:pt>
                <c:pt idx="7">
                  <c:v>68.5</c:v>
                </c:pt>
                <c:pt idx="8">
                  <c:v>70.290000000000006</c:v>
                </c:pt>
                <c:pt idx="9">
                  <c:v>72.02</c:v>
                </c:pt>
                <c:pt idx="10">
                  <c:v>73.989999999999995</c:v>
                </c:pt>
                <c:pt idx="11" formatCode="0.00">
                  <c:v>75.099999999999994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2C-4170-86A8-F240B0B9EE75}"/>
            </c:ext>
          </c:extLst>
        </c:ser>
        <c:ser>
          <c:idx val="1"/>
          <c:order val="1"/>
          <c:tx>
            <c:strRef>
              <c:f>'อาคารระบบประปา 20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'!$C$4:$C$15</c:f>
              <c:numCache>
                <c:formatCode>#,##0.00</c:formatCode>
                <c:ptCount val="12"/>
                <c:pt idx="0">
                  <c:v>77.2</c:v>
                </c:pt>
                <c:pt idx="1">
                  <c:v>79</c:v>
                </c:pt>
                <c:pt idx="2">
                  <c:v>80.8</c:v>
                </c:pt>
                <c:pt idx="3">
                  <c:v>83.3</c:v>
                </c:pt>
                <c:pt idx="4">
                  <c:v>85.34</c:v>
                </c:pt>
                <c:pt idx="5">
                  <c:v>87.03</c:v>
                </c:pt>
                <c:pt idx="6">
                  <c:v>88.59</c:v>
                </c:pt>
                <c:pt idx="7">
                  <c:v>90.15</c:v>
                </c:pt>
                <c:pt idx="8">
                  <c:v>92.48</c:v>
                </c:pt>
                <c:pt idx="9">
                  <c:v>94.04</c:v>
                </c:pt>
                <c:pt idx="10">
                  <c:v>95.45</c:v>
                </c:pt>
                <c:pt idx="11" formatCode="General">
                  <c:v>97.18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2C-4170-86A8-F240B0B9E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2022-2023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kW'!$E$2:$E$3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kW'!$E$4:$E$15</c:f>
              <c:numCache>
                <c:formatCode>#,##0.00</c:formatCode>
                <c:ptCount val="12"/>
                <c:pt idx="0">
                  <c:v>9560</c:v>
                </c:pt>
                <c:pt idx="1">
                  <c:v>9480</c:v>
                </c:pt>
                <c:pt idx="2">
                  <c:v>11000</c:v>
                </c:pt>
                <c:pt idx="3">
                  <c:v>10800</c:v>
                </c:pt>
                <c:pt idx="4">
                  <c:v>10840</c:v>
                </c:pt>
                <c:pt idx="5">
                  <c:v>10340</c:v>
                </c:pt>
                <c:pt idx="6">
                  <c:v>9860</c:v>
                </c:pt>
                <c:pt idx="7">
                  <c:v>9970</c:v>
                </c:pt>
                <c:pt idx="8">
                  <c:v>8870</c:v>
                </c:pt>
                <c:pt idx="9">
                  <c:v>8950</c:v>
                </c:pt>
                <c:pt idx="10">
                  <c:v>8920</c:v>
                </c:pt>
                <c:pt idx="11">
                  <c:v>8260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A-41F6-BA2B-2596F6F8C153}"/>
            </c:ext>
          </c:extLst>
        </c:ser>
        <c:ser>
          <c:idx val="1"/>
          <c:order val="1"/>
          <c:tx>
            <c:strRef>
              <c:f>'อาคารสำนักงานมหาวิทยาลัย 110 kW'!$F$2:$F$3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kW'!$F$4:$F$15</c:f>
              <c:numCache>
                <c:formatCode>#,##0.00</c:formatCode>
                <c:ptCount val="12"/>
                <c:pt idx="0">
                  <c:v>9050</c:v>
                </c:pt>
                <c:pt idx="1">
                  <c:v>8058</c:v>
                </c:pt>
                <c:pt idx="2">
                  <c:v>9320</c:v>
                </c:pt>
                <c:pt idx="3">
                  <c:v>9630</c:v>
                </c:pt>
                <c:pt idx="4">
                  <c:v>11450</c:v>
                </c:pt>
                <c:pt idx="5">
                  <c:v>10400</c:v>
                </c:pt>
                <c:pt idx="6">
                  <c:v>10610</c:v>
                </c:pt>
                <c:pt idx="7">
                  <c:v>8310</c:v>
                </c:pt>
                <c:pt idx="8">
                  <c:v>8960</c:v>
                </c:pt>
                <c:pt idx="9">
                  <c:v>8800</c:v>
                </c:pt>
                <c:pt idx="10">
                  <c:v>8880</c:v>
                </c:pt>
                <c:pt idx="11">
                  <c:v>8520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6A-41F6-BA2B-2596F6F8C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2025</a:t>
            </a:r>
            <a:r>
              <a:rPr lang="en-US" sz="1400"/>
              <a:t>-</a:t>
            </a:r>
            <a:r>
              <a:rPr lang="th-TH" sz="1400"/>
              <a:t>2026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'อาคารระบบประปา 20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'!$C$4:$C$15</c:f>
              <c:numCache>
                <c:formatCode>#,##0.00</c:formatCode>
                <c:ptCount val="12"/>
                <c:pt idx="0">
                  <c:v>77.2</c:v>
                </c:pt>
                <c:pt idx="1">
                  <c:v>79</c:v>
                </c:pt>
                <c:pt idx="2">
                  <c:v>80.8</c:v>
                </c:pt>
                <c:pt idx="3">
                  <c:v>83.3</c:v>
                </c:pt>
                <c:pt idx="4">
                  <c:v>85.34</c:v>
                </c:pt>
                <c:pt idx="5">
                  <c:v>87.03</c:v>
                </c:pt>
                <c:pt idx="6">
                  <c:v>88.59</c:v>
                </c:pt>
                <c:pt idx="7">
                  <c:v>90.15</c:v>
                </c:pt>
                <c:pt idx="8">
                  <c:v>92.48</c:v>
                </c:pt>
                <c:pt idx="9">
                  <c:v>94.04</c:v>
                </c:pt>
                <c:pt idx="10">
                  <c:v>95.45</c:v>
                </c:pt>
                <c:pt idx="11" formatCode="General">
                  <c:v>97.18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82C-4FFD-845A-C58EA91FE681}"/>
            </c:ext>
          </c:extLst>
        </c:ser>
        <c:ser>
          <c:idx val="0"/>
          <c:order val="1"/>
          <c:tx>
            <c:strRef>
              <c:f>'อาคารระบบประปา 20 kW 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'!$D$4:$D$15</c:f>
              <c:numCache>
                <c:formatCode>#,##0.00</c:formatCode>
                <c:ptCount val="12"/>
                <c:pt idx="0">
                  <c:v>99.13</c:v>
                </c:pt>
                <c:pt idx="1">
                  <c:v>100.68</c:v>
                </c:pt>
                <c:pt idx="2">
                  <c:v>102.5</c:v>
                </c:pt>
                <c:pt idx="3">
                  <c:v>102.5</c:v>
                </c:pt>
                <c:pt idx="4">
                  <c:v>104.01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82C-4FFD-845A-C58EA91FE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652981899060982E-2"/>
          <c:y val="0.89911565108415492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2026</a:t>
            </a:r>
            <a:r>
              <a:rPr lang="en-US" sz="1400"/>
              <a:t>-</a:t>
            </a:r>
            <a:r>
              <a:rPr lang="th-TH" sz="1400"/>
              <a:t>2027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'อาคารระบบประปา 20 kW 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'!$D$4:$D$15</c:f>
              <c:numCache>
                <c:formatCode>#,##0.00</c:formatCode>
                <c:ptCount val="12"/>
                <c:pt idx="0">
                  <c:v>99.13</c:v>
                </c:pt>
                <c:pt idx="1">
                  <c:v>100.68</c:v>
                </c:pt>
                <c:pt idx="2">
                  <c:v>102.5</c:v>
                </c:pt>
                <c:pt idx="3">
                  <c:v>102.5</c:v>
                </c:pt>
                <c:pt idx="4">
                  <c:v>104.01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8A-4B6B-9A90-B1C201ED65D2}"/>
            </c:ext>
          </c:extLst>
        </c:ser>
        <c:ser>
          <c:idx val="1"/>
          <c:order val="1"/>
          <c:tx>
            <c:strRef>
              <c:f>'อาคารระบบประปา 20 kW 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E08A-4B6B-9A90-B1C201ED6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682954651104579"/>
          <c:y val="0.89536189733040117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2027</a:t>
            </a:r>
            <a:r>
              <a:rPr lang="en-US" sz="1400"/>
              <a:t>-</a:t>
            </a:r>
            <a:r>
              <a:rPr lang="th-TH" sz="1400"/>
              <a:t>2028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'อาคารระบบประปา 20 kW 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4C97-4921-8CCF-C0CDE4711933}"/>
            </c:ext>
          </c:extLst>
        </c:ser>
        <c:ser>
          <c:idx val="1"/>
          <c:order val="1"/>
          <c:tx>
            <c:strRef>
              <c:f>'อาคารระบบประปา 20 kW '!$F$2:$F$3</c:f>
              <c:strCache>
                <c:ptCount val="2"/>
                <c:pt idx="0">
                  <c:v>หน่วย  (2571)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'!$F$4:$F$15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4C97-4921-8CCF-C0CDE4711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682954651104579"/>
          <c:y val="0.89536189733040117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2024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  <a:r>
              <a:rPr lang="th-TH" sz="1400"/>
              <a:t> </a:t>
            </a:r>
            <a:endParaRPr lang="en-US" sz="1400"/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'อาคารระบบบำบัดน้ำเสีย 10 kW '!$B$2:$B$3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'!$B$4:$B$15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2490-4120-B549-4801DDD36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2024</a:t>
            </a:r>
            <a:r>
              <a:rPr lang="en-US" sz="1400"/>
              <a:t>-</a:t>
            </a:r>
            <a:r>
              <a:rPr lang="th-TH" sz="1400"/>
              <a:t>2025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785737625151389"/>
          <c:y val="3.2813128088718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'อาคารระบบบำบัดน้ำเสีย 10 kW '!$B$2:$B$3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'!$B$4:$B$15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095E-4C1E-A32A-71419AE1183B}"/>
            </c:ext>
          </c:extLst>
        </c:ser>
        <c:ser>
          <c:idx val="1"/>
          <c:order val="1"/>
          <c:tx>
            <c:strRef>
              <c:f>'อาคารระบบบำบัดน้ำเสีย 10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'!$C$4:$C$15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095E-4C1E-A32A-71419AE11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2025</a:t>
            </a:r>
            <a:r>
              <a:rPr lang="en-US" sz="1400"/>
              <a:t>-</a:t>
            </a:r>
            <a:r>
              <a:rPr lang="th-TH" sz="1400"/>
              <a:t>2026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'อาคารระบบบำบัดน้ำเสีย 10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'!$C$4:$C$15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4BD0-40DE-B7B1-A9BEA84032DB}"/>
            </c:ext>
          </c:extLst>
        </c:ser>
        <c:ser>
          <c:idx val="0"/>
          <c:order val="1"/>
          <c:tx>
            <c:strRef>
              <c:f>'อาคารระบบบำบัดน้ำเสีย 10 kW 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'!$D$4:$D$15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4BD0-40DE-B7B1-A9BEA8403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9760096404843128"/>
          <c:y val="0.89911565108415492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2026</a:t>
            </a:r>
            <a:r>
              <a:rPr lang="en-US" sz="1400"/>
              <a:t>-</a:t>
            </a:r>
            <a:r>
              <a:rPr lang="th-TH" sz="1400"/>
              <a:t>2027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'อาคารระบบบำบัดน้ำเสีย 10 kW 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'!$D$4:$D$15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C6C0-4F80-9E67-FEF7121C4E3C}"/>
            </c:ext>
          </c:extLst>
        </c:ser>
        <c:ser>
          <c:idx val="1"/>
          <c:order val="1"/>
          <c:tx>
            <c:strRef>
              <c:f>'อาคารระบบบำบัดน้ำเสีย 10 kW 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C6C0-4F80-9E67-FEF7121C4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682954651104579"/>
          <c:y val="0.89536189733040117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2027</a:t>
            </a:r>
            <a:r>
              <a:rPr lang="en-US" sz="1400"/>
              <a:t>-</a:t>
            </a:r>
            <a:r>
              <a:rPr lang="th-TH" sz="1400"/>
              <a:t>2028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'อาคารระบบบำบัดน้ำเสีย 10 kW 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A714-443E-A5B9-D06118CD05FA}"/>
            </c:ext>
          </c:extLst>
        </c:ser>
        <c:ser>
          <c:idx val="1"/>
          <c:order val="1"/>
          <c:tx>
            <c:strRef>
              <c:f>'อาคารระบบบำบัดน้ำเสีย 10 kW '!$F$2:$F$3</c:f>
              <c:strCache>
                <c:ptCount val="2"/>
                <c:pt idx="0">
                  <c:v>หน่วย  (2571)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'!$F$4:$F$15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A714-443E-A5B9-D06118CD0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682954651104579"/>
          <c:y val="0.89536189733040117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2023-2024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3940775260235327"/>
          <c:y val="3.2813128088718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kW'!$F$2:$F$3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kW'!$F$4:$F$15</c:f>
              <c:numCache>
                <c:formatCode>#,##0.00</c:formatCode>
                <c:ptCount val="12"/>
                <c:pt idx="0">
                  <c:v>9050</c:v>
                </c:pt>
                <c:pt idx="1">
                  <c:v>8058</c:v>
                </c:pt>
                <c:pt idx="2">
                  <c:v>9320</c:v>
                </c:pt>
                <c:pt idx="3">
                  <c:v>9630</c:v>
                </c:pt>
                <c:pt idx="4">
                  <c:v>11450</c:v>
                </c:pt>
                <c:pt idx="5">
                  <c:v>10400</c:v>
                </c:pt>
                <c:pt idx="6">
                  <c:v>10610</c:v>
                </c:pt>
                <c:pt idx="7">
                  <c:v>8310</c:v>
                </c:pt>
                <c:pt idx="8">
                  <c:v>8960</c:v>
                </c:pt>
                <c:pt idx="9">
                  <c:v>8800</c:v>
                </c:pt>
                <c:pt idx="10">
                  <c:v>8880</c:v>
                </c:pt>
                <c:pt idx="11">
                  <c:v>8520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CC-4C26-90CD-E8FA1DEEDBA3}"/>
            </c:ext>
          </c:extLst>
        </c:ser>
        <c:ser>
          <c:idx val="1"/>
          <c:order val="1"/>
          <c:tx>
            <c:strRef>
              <c:f>'อาคารสำนักงานมหาวิทยาลัย 110 kW'!$G$2:$G$3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kW'!$G$4:$G$15</c:f>
              <c:numCache>
                <c:formatCode>#,##0.00</c:formatCode>
                <c:ptCount val="12"/>
                <c:pt idx="0">
                  <c:v>8880</c:v>
                </c:pt>
                <c:pt idx="1">
                  <c:v>10620</c:v>
                </c:pt>
                <c:pt idx="2">
                  <c:v>11260</c:v>
                </c:pt>
                <c:pt idx="3">
                  <c:v>11370</c:v>
                </c:pt>
                <c:pt idx="4">
                  <c:v>12440</c:v>
                </c:pt>
                <c:pt idx="5">
                  <c:v>11430</c:v>
                </c:pt>
                <c:pt idx="6">
                  <c:v>10780</c:v>
                </c:pt>
                <c:pt idx="7">
                  <c:v>3580</c:v>
                </c:pt>
                <c:pt idx="8">
                  <c:v>1990</c:v>
                </c:pt>
                <c:pt idx="9">
                  <c:v>11340</c:v>
                </c:pt>
                <c:pt idx="10">
                  <c:v>9090</c:v>
                </c:pt>
                <c:pt idx="11">
                  <c:v>9390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3CC-4C26-90CD-E8FA1DEED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200"/>
              <a:t>การผลิตกระแสไฟฟ้าจากโซล่าเซลล์ </a:t>
            </a:r>
            <a:r>
              <a:rPr lang="en-US" sz="1200"/>
              <a:t>(kWh) 2568-2569</a:t>
            </a:r>
            <a:endParaRPr lang="th-TH" sz="12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3940775260235327"/>
          <c:y val="3.2813128088718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kW'!$H$2:$H$3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kW'!$H$4:$H$15</c:f>
              <c:numCache>
                <c:formatCode>#,##0.00</c:formatCode>
                <c:ptCount val="12"/>
                <c:pt idx="0">
                  <c:v>10180</c:v>
                </c:pt>
                <c:pt idx="1">
                  <c:v>8940</c:v>
                </c:pt>
                <c:pt idx="2">
                  <c:v>9520</c:v>
                </c:pt>
                <c:pt idx="3">
                  <c:v>9490</c:v>
                </c:pt>
                <c:pt idx="4">
                  <c:v>9310</c:v>
                </c:pt>
                <c:pt idx="5">
                  <c:v>8440</c:v>
                </c:pt>
                <c:pt idx="6">
                  <c:v>7320</c:v>
                </c:pt>
                <c:pt idx="7">
                  <c:v>8370</c:v>
                </c:pt>
                <c:pt idx="8">
                  <c:v>8360</c:v>
                </c:pt>
                <c:pt idx="9">
                  <c:v>8530</c:v>
                </c:pt>
                <c:pt idx="10">
                  <c:v>6710</c:v>
                </c:pt>
                <c:pt idx="11">
                  <c:v>7600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EE-414A-8DD7-EF6BDF2732FD}"/>
            </c:ext>
          </c:extLst>
        </c:ser>
        <c:ser>
          <c:idx val="1"/>
          <c:order val="1"/>
          <c:tx>
            <c:strRef>
              <c:f>'อาคารสำนักงานมหาวิทยาลัย 110 kW'!$I$2:$I$3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kW'!$I$4:$I$15</c:f>
              <c:numCache>
                <c:formatCode>#,##0.00</c:formatCode>
                <c:ptCount val="12"/>
                <c:pt idx="0">
                  <c:v>7850</c:v>
                </c:pt>
                <c:pt idx="1">
                  <c:v>7030</c:v>
                </c:pt>
                <c:pt idx="2">
                  <c:v>9400</c:v>
                </c:pt>
                <c:pt idx="3">
                  <c:v>8850</c:v>
                </c:pt>
                <c:pt idx="4">
                  <c:v>9380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EE-414A-8DD7-EF6BDF273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393736741811383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kW'!$B$2:$B$3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kW'!$B$4:$B$15</c:f>
            </c:numRef>
          </c:val>
          <c:extLst>
            <c:ext xmlns:c16="http://schemas.microsoft.com/office/drawing/2014/chart" uri="{C3380CC4-5D6E-409C-BE32-E72D297353CC}">
              <c16:uniqueId val="{00000000-2C07-4A3A-B870-7871962D3F63}"/>
            </c:ext>
          </c:extLst>
        </c:ser>
        <c:ser>
          <c:idx val="1"/>
          <c:order val="1"/>
          <c:tx>
            <c:strRef>
              <c:f>'อาคารอำนวย ยศสุข 300 kW'!$C$2:$C$3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kW'!$C$4:$C$15</c:f>
              <c:numCache>
                <c:formatCode>#,##0.00</c:formatCode>
                <c:ptCount val="12"/>
                <c:pt idx="0">
                  <c:v>30650</c:v>
                </c:pt>
                <c:pt idx="1">
                  <c:v>32670</c:v>
                </c:pt>
                <c:pt idx="2">
                  <c:v>25790</c:v>
                </c:pt>
                <c:pt idx="3">
                  <c:v>3760</c:v>
                </c:pt>
                <c:pt idx="4">
                  <c:v>36790</c:v>
                </c:pt>
                <c:pt idx="5">
                  <c:v>30030</c:v>
                </c:pt>
                <c:pt idx="6">
                  <c:v>31830</c:v>
                </c:pt>
                <c:pt idx="7">
                  <c:v>35050</c:v>
                </c:pt>
                <c:pt idx="8">
                  <c:v>30250</c:v>
                </c:pt>
                <c:pt idx="9">
                  <c:v>14260</c:v>
                </c:pt>
                <c:pt idx="10">
                  <c:v>21330</c:v>
                </c:pt>
                <c:pt idx="11">
                  <c:v>24440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07-4A3A-B870-7871962D3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kWh</a:t>
            </a:r>
          </a:p>
        </c:rich>
      </c:tx>
      <c:layout>
        <c:manualLayout>
          <c:xMode val="edge"/>
          <c:yMode val="edge"/>
          <c:x val="0.1302412540898141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377563215260915"/>
          <c:y val="0.20561840120663649"/>
          <c:w val="0.84220899801069538"/>
          <c:h val="0.516160734433082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kW'!$C$2:$C$3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kW'!$C$4:$C$15</c:f>
              <c:numCache>
                <c:formatCode>#,##0.00</c:formatCode>
                <c:ptCount val="12"/>
                <c:pt idx="0">
                  <c:v>30650</c:v>
                </c:pt>
                <c:pt idx="1">
                  <c:v>32670</c:v>
                </c:pt>
                <c:pt idx="2">
                  <c:v>25790</c:v>
                </c:pt>
                <c:pt idx="3">
                  <c:v>3760</c:v>
                </c:pt>
                <c:pt idx="4">
                  <c:v>36790</c:v>
                </c:pt>
                <c:pt idx="5">
                  <c:v>30030</c:v>
                </c:pt>
                <c:pt idx="6">
                  <c:v>31830</c:v>
                </c:pt>
                <c:pt idx="7">
                  <c:v>35050</c:v>
                </c:pt>
                <c:pt idx="8">
                  <c:v>30250</c:v>
                </c:pt>
                <c:pt idx="9">
                  <c:v>14260</c:v>
                </c:pt>
                <c:pt idx="10">
                  <c:v>21330</c:v>
                </c:pt>
                <c:pt idx="11">
                  <c:v>24440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1D-4CDA-9753-25F82DD07642}"/>
            </c:ext>
          </c:extLst>
        </c:ser>
        <c:ser>
          <c:idx val="1"/>
          <c:order val="1"/>
          <c:tx>
            <c:strRef>
              <c:f>'อาคารอำนวย ยศสุข 300 kW'!$D$2:$D$3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kW'!$D$4:$D$15</c:f>
              <c:numCache>
                <c:formatCode>#,##0.00</c:formatCode>
                <c:ptCount val="12"/>
                <c:pt idx="0">
                  <c:v>34040</c:v>
                </c:pt>
                <c:pt idx="1">
                  <c:v>33910</c:v>
                </c:pt>
                <c:pt idx="2">
                  <c:v>37770</c:v>
                </c:pt>
                <c:pt idx="3">
                  <c:v>29720</c:v>
                </c:pt>
                <c:pt idx="4">
                  <c:v>34880</c:v>
                </c:pt>
                <c:pt idx="5">
                  <c:v>38650</c:v>
                </c:pt>
                <c:pt idx="6">
                  <c:v>37110</c:v>
                </c:pt>
                <c:pt idx="7">
                  <c:v>29570</c:v>
                </c:pt>
                <c:pt idx="8">
                  <c:v>31380</c:v>
                </c:pt>
                <c:pt idx="9">
                  <c:v>32550</c:v>
                </c:pt>
                <c:pt idx="10">
                  <c:v>33310</c:v>
                </c:pt>
                <c:pt idx="11">
                  <c:v>29630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1D-4CDA-9753-25F82DD07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2022-2023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kWh</a:t>
            </a:r>
          </a:p>
        </c:rich>
      </c:tx>
      <c:layout>
        <c:manualLayout>
          <c:xMode val="edge"/>
          <c:yMode val="edge"/>
          <c:x val="0.1302412540898141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kW'!$D$2:$D$3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kW'!$D$4:$D$15</c:f>
              <c:numCache>
                <c:formatCode>#,##0.00</c:formatCode>
                <c:ptCount val="12"/>
                <c:pt idx="0">
                  <c:v>34040</c:v>
                </c:pt>
                <c:pt idx="1">
                  <c:v>33910</c:v>
                </c:pt>
                <c:pt idx="2">
                  <c:v>37770</c:v>
                </c:pt>
                <c:pt idx="3">
                  <c:v>29720</c:v>
                </c:pt>
                <c:pt idx="4">
                  <c:v>34880</c:v>
                </c:pt>
                <c:pt idx="5">
                  <c:v>38650</c:v>
                </c:pt>
                <c:pt idx="6">
                  <c:v>37110</c:v>
                </c:pt>
                <c:pt idx="7">
                  <c:v>29570</c:v>
                </c:pt>
                <c:pt idx="8">
                  <c:v>31380</c:v>
                </c:pt>
                <c:pt idx="9">
                  <c:v>32550</c:v>
                </c:pt>
                <c:pt idx="10">
                  <c:v>33310</c:v>
                </c:pt>
                <c:pt idx="11">
                  <c:v>29630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3E-4513-BD01-95D0EE354343}"/>
            </c:ext>
          </c:extLst>
        </c:ser>
        <c:ser>
          <c:idx val="1"/>
          <c:order val="1"/>
          <c:tx>
            <c:strRef>
              <c:f>'อาคารอำนวย ยศสุข 300 kW'!$E$2:$E$3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kW'!$E$4:$E$15</c:f>
              <c:numCache>
                <c:formatCode>#,##0.00</c:formatCode>
                <c:ptCount val="12"/>
                <c:pt idx="0">
                  <c:v>34040</c:v>
                </c:pt>
                <c:pt idx="1">
                  <c:v>31700</c:v>
                </c:pt>
                <c:pt idx="2">
                  <c:v>34010</c:v>
                </c:pt>
                <c:pt idx="3">
                  <c:v>35850</c:v>
                </c:pt>
                <c:pt idx="4">
                  <c:v>42930</c:v>
                </c:pt>
                <c:pt idx="5">
                  <c:v>38700</c:v>
                </c:pt>
                <c:pt idx="6">
                  <c:v>38560</c:v>
                </c:pt>
                <c:pt idx="7">
                  <c:v>29740</c:v>
                </c:pt>
                <c:pt idx="8">
                  <c:v>32050</c:v>
                </c:pt>
                <c:pt idx="9">
                  <c:v>31750</c:v>
                </c:pt>
                <c:pt idx="10">
                  <c:v>32890</c:v>
                </c:pt>
                <c:pt idx="11">
                  <c:v>30940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3E-4513-BD01-95D0EE354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4" Type="http://schemas.openxmlformats.org/officeDocument/2006/relationships/chart" Target="../charts/chart37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Relationship Id="rId5" Type="http://schemas.openxmlformats.org/officeDocument/2006/relationships/chart" Target="../charts/chart42.xml"/><Relationship Id="rId4" Type="http://schemas.openxmlformats.org/officeDocument/2006/relationships/chart" Target="../charts/chart41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6</xdr:col>
      <xdr:colOff>845820</xdr:colOff>
      <xdr:row>39</xdr:row>
      <xdr:rowOff>106680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6</xdr:col>
      <xdr:colOff>868680</xdr:colOff>
      <xdr:row>51</xdr:row>
      <xdr:rowOff>106680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6</xdr:col>
      <xdr:colOff>891540</xdr:colOff>
      <xdr:row>65</xdr:row>
      <xdr:rowOff>106680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0</xdr:rowOff>
    </xdr:from>
    <xdr:to>
      <xdr:col>6</xdr:col>
      <xdr:colOff>815340</xdr:colOff>
      <xdr:row>77</xdr:row>
      <xdr:rowOff>106680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289560</xdr:colOff>
      <xdr:row>20</xdr:row>
      <xdr:rowOff>0</xdr:rowOff>
    </xdr:from>
    <xdr:to>
      <xdr:col>7</xdr:col>
      <xdr:colOff>137160</xdr:colOff>
      <xdr:row>92</xdr:row>
      <xdr:rowOff>106680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396240</xdr:colOff>
      <xdr:row>93</xdr:row>
      <xdr:rowOff>22860</xdr:rowOff>
    </xdr:from>
    <xdr:to>
      <xdr:col>7</xdr:col>
      <xdr:colOff>243840</xdr:colOff>
      <xdr:row>103</xdr:row>
      <xdr:rowOff>129540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28</xdr:row>
      <xdr:rowOff>15240</xdr:rowOff>
    </xdr:from>
    <xdr:to>
      <xdr:col>5</xdr:col>
      <xdr:colOff>754380</xdr:colOff>
      <xdr:row>38</xdr:row>
      <xdr:rowOff>106680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160020</xdr:colOff>
      <xdr:row>40</xdr:row>
      <xdr:rowOff>30480</xdr:rowOff>
    </xdr:from>
    <xdr:to>
      <xdr:col>5</xdr:col>
      <xdr:colOff>777240</xdr:colOff>
      <xdr:row>50</xdr:row>
      <xdr:rowOff>121920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55</xdr:row>
      <xdr:rowOff>30480</xdr:rowOff>
    </xdr:from>
    <xdr:to>
      <xdr:col>5</xdr:col>
      <xdr:colOff>693420</xdr:colOff>
      <xdr:row>65</xdr:row>
      <xdr:rowOff>137160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533400</xdr:colOff>
      <xdr:row>67</xdr:row>
      <xdr:rowOff>53340</xdr:rowOff>
    </xdr:from>
    <xdr:to>
      <xdr:col>6</xdr:col>
      <xdr:colOff>198120</xdr:colOff>
      <xdr:row>78</xdr:row>
      <xdr:rowOff>160020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518160</xdr:colOff>
      <xdr:row>79</xdr:row>
      <xdr:rowOff>53340</xdr:rowOff>
    </xdr:from>
    <xdr:to>
      <xdr:col>6</xdr:col>
      <xdr:colOff>182880</xdr:colOff>
      <xdr:row>89</xdr:row>
      <xdr:rowOff>160020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259080</xdr:colOff>
      <xdr:row>28</xdr:row>
      <xdr:rowOff>0</xdr:rowOff>
    </xdr:from>
    <xdr:to>
      <xdr:col>9</xdr:col>
      <xdr:colOff>609600</xdr:colOff>
      <xdr:row>40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213360</xdr:colOff>
      <xdr:row>42</xdr:row>
      <xdr:rowOff>7620</xdr:rowOff>
    </xdr:from>
    <xdr:to>
      <xdr:col>9</xdr:col>
      <xdr:colOff>556260</xdr:colOff>
      <xdr:row>53</xdr:row>
      <xdr:rowOff>15240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54</xdr:row>
      <xdr:rowOff>304800</xdr:rowOff>
    </xdr:from>
    <xdr:to>
      <xdr:col>9</xdr:col>
      <xdr:colOff>624840</xdr:colOff>
      <xdr:row>65</xdr:row>
      <xdr:rowOff>304800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66</xdr:row>
      <xdr:rowOff>281940</xdr:rowOff>
    </xdr:from>
    <xdr:to>
      <xdr:col>9</xdr:col>
      <xdr:colOff>647700</xdr:colOff>
      <xdr:row>77</xdr:row>
      <xdr:rowOff>289560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381000</xdr:colOff>
      <xdr:row>81</xdr:row>
      <xdr:rowOff>312420</xdr:rowOff>
    </xdr:from>
    <xdr:to>
      <xdr:col>9</xdr:col>
      <xdr:colOff>541020</xdr:colOff>
      <xdr:row>92</xdr:row>
      <xdr:rowOff>312420</xdr:rowOff>
    </xdr:to>
    <xdr:graphicFrame macro="">
      <xdr:nvGraphicFramePr>
        <xdr:cNvPr id="9" name="แผนภูมิ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373380</xdr:colOff>
      <xdr:row>93</xdr:row>
      <xdr:rowOff>320040</xdr:rowOff>
    </xdr:from>
    <xdr:to>
      <xdr:col>9</xdr:col>
      <xdr:colOff>548640</xdr:colOff>
      <xdr:row>105</xdr:row>
      <xdr:rowOff>0</xdr:rowOff>
    </xdr:to>
    <xdr:graphicFrame macro="">
      <xdr:nvGraphicFramePr>
        <xdr:cNvPr id="11" name="แผนภูมิ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251460</xdr:colOff>
      <xdr:row>17</xdr:row>
      <xdr:rowOff>182880</xdr:rowOff>
    </xdr:from>
    <xdr:to>
      <xdr:col>10</xdr:col>
      <xdr:colOff>518160</xdr:colOff>
      <xdr:row>26</xdr:row>
      <xdr:rowOff>76200</xdr:rowOff>
    </xdr:to>
    <xdr:graphicFrame macro="">
      <xdr:nvGraphicFramePr>
        <xdr:cNvPr id="10" name="แผนภูมิ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28</xdr:row>
      <xdr:rowOff>289560</xdr:rowOff>
    </xdr:from>
    <xdr:to>
      <xdr:col>8</xdr:col>
      <xdr:colOff>701040</xdr:colOff>
      <xdr:row>39</xdr:row>
      <xdr:rowOff>297180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41</xdr:row>
      <xdr:rowOff>121920</xdr:rowOff>
    </xdr:from>
    <xdr:to>
      <xdr:col>8</xdr:col>
      <xdr:colOff>769620</xdr:colOff>
      <xdr:row>52</xdr:row>
      <xdr:rowOff>175260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320040</xdr:colOff>
      <xdr:row>56</xdr:row>
      <xdr:rowOff>7620</xdr:rowOff>
    </xdr:from>
    <xdr:to>
      <xdr:col>8</xdr:col>
      <xdr:colOff>754380</xdr:colOff>
      <xdr:row>67</xdr:row>
      <xdr:rowOff>22860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304800</xdr:colOff>
      <xdr:row>68</xdr:row>
      <xdr:rowOff>38100</xdr:rowOff>
    </xdr:from>
    <xdr:to>
      <xdr:col>8</xdr:col>
      <xdr:colOff>762000</xdr:colOff>
      <xdr:row>79</xdr:row>
      <xdr:rowOff>68580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297180</xdr:colOff>
      <xdr:row>83</xdr:row>
      <xdr:rowOff>7620</xdr:rowOff>
    </xdr:from>
    <xdr:to>
      <xdr:col>8</xdr:col>
      <xdr:colOff>731520</xdr:colOff>
      <xdr:row>94</xdr:row>
      <xdr:rowOff>38100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266700</xdr:colOff>
      <xdr:row>17</xdr:row>
      <xdr:rowOff>83820</xdr:rowOff>
    </xdr:from>
    <xdr:to>
      <xdr:col>9</xdr:col>
      <xdr:colOff>594360</xdr:colOff>
      <xdr:row>26</xdr:row>
      <xdr:rowOff>167640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259080</xdr:colOff>
      <xdr:row>27</xdr:row>
      <xdr:rowOff>297180</xdr:rowOff>
    </xdr:from>
    <xdr:to>
      <xdr:col>8</xdr:col>
      <xdr:colOff>784860</xdr:colOff>
      <xdr:row>38</xdr:row>
      <xdr:rowOff>304800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304800</xdr:colOff>
      <xdr:row>40</xdr:row>
      <xdr:rowOff>30480</xdr:rowOff>
    </xdr:from>
    <xdr:to>
      <xdr:col>8</xdr:col>
      <xdr:colOff>731520</xdr:colOff>
      <xdr:row>51</xdr:row>
      <xdr:rowOff>83820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327660</xdr:colOff>
      <xdr:row>55</xdr:row>
      <xdr:rowOff>22860</xdr:rowOff>
    </xdr:from>
    <xdr:to>
      <xdr:col>8</xdr:col>
      <xdr:colOff>731520</xdr:colOff>
      <xdr:row>66</xdr:row>
      <xdr:rowOff>38100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373380</xdr:colOff>
      <xdr:row>68</xdr:row>
      <xdr:rowOff>7620</xdr:rowOff>
    </xdr:from>
    <xdr:to>
      <xdr:col>8</xdr:col>
      <xdr:colOff>708660</xdr:colOff>
      <xdr:row>79</xdr:row>
      <xdr:rowOff>38100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297180</xdr:colOff>
      <xdr:row>82</xdr:row>
      <xdr:rowOff>7620</xdr:rowOff>
    </xdr:from>
    <xdr:to>
      <xdr:col>8</xdr:col>
      <xdr:colOff>723900</xdr:colOff>
      <xdr:row>93</xdr:row>
      <xdr:rowOff>38100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243840</xdr:colOff>
      <xdr:row>17</xdr:row>
      <xdr:rowOff>152400</xdr:rowOff>
    </xdr:from>
    <xdr:to>
      <xdr:col>9</xdr:col>
      <xdr:colOff>685800</xdr:colOff>
      <xdr:row>95</xdr:row>
      <xdr:rowOff>15240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8</xdr:col>
      <xdr:colOff>609600</xdr:colOff>
      <xdr:row>38</xdr:row>
      <xdr:rowOff>15240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8</xdr:col>
      <xdr:colOff>556260</xdr:colOff>
      <xdr:row>51</xdr:row>
      <xdr:rowOff>7620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17</xdr:row>
      <xdr:rowOff>137160</xdr:rowOff>
    </xdr:from>
    <xdr:to>
      <xdr:col>9</xdr:col>
      <xdr:colOff>548640</xdr:colOff>
      <xdr:row>26</xdr:row>
      <xdr:rowOff>7620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17</xdr:row>
      <xdr:rowOff>83820</xdr:rowOff>
    </xdr:from>
    <xdr:to>
      <xdr:col>4</xdr:col>
      <xdr:colOff>838200</xdr:colOff>
      <xdr:row>25</xdr:row>
      <xdr:rowOff>320040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91440</xdr:colOff>
      <xdr:row>43</xdr:row>
      <xdr:rowOff>0</xdr:rowOff>
    </xdr:from>
    <xdr:to>
      <xdr:col>4</xdr:col>
      <xdr:colOff>853440</xdr:colOff>
      <xdr:row>53</xdr:row>
      <xdr:rowOff>106680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114300</xdr:colOff>
      <xdr:row>55</xdr:row>
      <xdr:rowOff>0</xdr:rowOff>
    </xdr:from>
    <xdr:to>
      <xdr:col>4</xdr:col>
      <xdr:colOff>830580</xdr:colOff>
      <xdr:row>65</xdr:row>
      <xdr:rowOff>106680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91440</xdr:colOff>
      <xdr:row>70</xdr:row>
      <xdr:rowOff>0</xdr:rowOff>
    </xdr:from>
    <xdr:to>
      <xdr:col>4</xdr:col>
      <xdr:colOff>845820</xdr:colOff>
      <xdr:row>80</xdr:row>
      <xdr:rowOff>106680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16</xdr:row>
      <xdr:rowOff>121920</xdr:rowOff>
    </xdr:from>
    <xdr:to>
      <xdr:col>5</xdr:col>
      <xdr:colOff>868680</xdr:colOff>
      <xdr:row>38</xdr:row>
      <xdr:rowOff>121920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40</xdr:row>
      <xdr:rowOff>297180</xdr:rowOff>
    </xdr:from>
    <xdr:to>
      <xdr:col>5</xdr:col>
      <xdr:colOff>922020</xdr:colOff>
      <xdr:row>51</xdr:row>
      <xdr:rowOff>76200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55</xdr:row>
      <xdr:rowOff>0</xdr:rowOff>
    </xdr:from>
    <xdr:to>
      <xdr:col>5</xdr:col>
      <xdr:colOff>883920</xdr:colOff>
      <xdr:row>65</xdr:row>
      <xdr:rowOff>106680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76200</xdr:colOff>
      <xdr:row>67</xdr:row>
      <xdr:rowOff>45720</xdr:rowOff>
    </xdr:from>
    <xdr:to>
      <xdr:col>5</xdr:col>
      <xdr:colOff>883920</xdr:colOff>
      <xdr:row>77</xdr:row>
      <xdr:rowOff>152400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60960</xdr:colOff>
      <xdr:row>82</xdr:row>
      <xdr:rowOff>15240</xdr:rowOff>
    </xdr:from>
    <xdr:to>
      <xdr:col>5</xdr:col>
      <xdr:colOff>868680</xdr:colOff>
      <xdr:row>92</xdr:row>
      <xdr:rowOff>121920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29</xdr:row>
      <xdr:rowOff>0</xdr:rowOff>
    </xdr:from>
    <xdr:to>
      <xdr:col>5</xdr:col>
      <xdr:colOff>845820</xdr:colOff>
      <xdr:row>39</xdr:row>
      <xdr:rowOff>106680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40</xdr:row>
      <xdr:rowOff>297180</xdr:rowOff>
    </xdr:from>
    <xdr:to>
      <xdr:col>5</xdr:col>
      <xdr:colOff>922020</xdr:colOff>
      <xdr:row>51</xdr:row>
      <xdr:rowOff>76200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55</xdr:row>
      <xdr:rowOff>0</xdr:rowOff>
    </xdr:from>
    <xdr:to>
      <xdr:col>5</xdr:col>
      <xdr:colOff>883920</xdr:colOff>
      <xdr:row>65</xdr:row>
      <xdr:rowOff>106680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76200</xdr:colOff>
      <xdr:row>67</xdr:row>
      <xdr:rowOff>45720</xdr:rowOff>
    </xdr:from>
    <xdr:to>
      <xdr:col>5</xdr:col>
      <xdr:colOff>883920</xdr:colOff>
      <xdr:row>77</xdr:row>
      <xdr:rowOff>152400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60960</xdr:colOff>
      <xdr:row>82</xdr:row>
      <xdr:rowOff>15240</xdr:rowOff>
    </xdr:from>
    <xdr:to>
      <xdr:col>5</xdr:col>
      <xdr:colOff>868680</xdr:colOff>
      <xdr:row>92</xdr:row>
      <xdr:rowOff>121920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showGridLines="0" tabSelected="1" view="pageBreakPreview" zoomScaleNormal="100" zoomScaleSheetLayoutView="100" workbookViewId="0">
      <pane ySplit="1836" topLeftCell="A4" activePane="bottomLeft"/>
      <selection activeCell="I1" sqref="I1:I1048576"/>
      <selection pane="bottomLeft" activeCell="K9" sqref="K9"/>
    </sheetView>
  </sheetViews>
  <sheetFormatPr defaultRowHeight="25.8" x14ac:dyDescent="0.65"/>
  <cols>
    <col min="1" max="1" width="12" style="2" customWidth="1"/>
    <col min="2" max="3" width="12.69921875" style="2" hidden="1" customWidth="1"/>
    <col min="4" max="9" width="12.69921875" style="2" customWidth="1"/>
    <col min="10" max="16384" width="8.796875" style="2"/>
  </cols>
  <sheetData>
    <row r="1" spans="1:9" ht="26.4" x14ac:dyDescent="0.7">
      <c r="A1" s="1" t="s">
        <v>17</v>
      </c>
    </row>
    <row r="2" spans="1:9" x14ac:dyDescent="0.65">
      <c r="A2" s="3" t="s">
        <v>0</v>
      </c>
      <c r="B2" s="3" t="s">
        <v>35</v>
      </c>
      <c r="C2" s="3" t="s">
        <v>30</v>
      </c>
      <c r="D2" s="3" t="s">
        <v>29</v>
      </c>
      <c r="E2" s="3" t="s">
        <v>28</v>
      </c>
      <c r="F2" s="3" t="s">
        <v>27</v>
      </c>
      <c r="G2" s="3" t="s">
        <v>26</v>
      </c>
      <c r="H2" s="3" t="s">
        <v>25</v>
      </c>
      <c r="I2" s="3" t="s">
        <v>36</v>
      </c>
    </row>
    <row r="3" spans="1:9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  <c r="H3" s="4" t="s">
        <v>1</v>
      </c>
      <c r="I3" s="4" t="s">
        <v>1</v>
      </c>
    </row>
    <row r="4" spans="1:9" x14ac:dyDescent="0.65">
      <c r="A4" s="5" t="s">
        <v>2</v>
      </c>
      <c r="B4" s="6" t="s">
        <v>14</v>
      </c>
      <c r="C4" s="6">
        <f>1000*10.06</f>
        <v>10060</v>
      </c>
      <c r="D4" s="6">
        <f>1000*8.63</f>
        <v>8630</v>
      </c>
      <c r="E4" s="6">
        <f>1000*9.56</f>
        <v>9560</v>
      </c>
      <c r="F4" s="6">
        <v>9050</v>
      </c>
      <c r="G4" s="6">
        <v>8880</v>
      </c>
      <c r="H4" s="6">
        <v>10180</v>
      </c>
      <c r="I4" s="6">
        <v>7850</v>
      </c>
    </row>
    <row r="5" spans="1:9" x14ac:dyDescent="0.65">
      <c r="A5" s="5" t="s">
        <v>21</v>
      </c>
      <c r="B5" s="6" t="s">
        <v>14</v>
      </c>
      <c r="C5" s="6">
        <f>1000*9.44</f>
        <v>9440</v>
      </c>
      <c r="D5" s="6">
        <f>1000*9.27</f>
        <v>9270</v>
      </c>
      <c r="E5" s="6">
        <f>1000*9.48</f>
        <v>9480</v>
      </c>
      <c r="F5" s="6">
        <v>8058</v>
      </c>
      <c r="G5" s="6">
        <v>10620</v>
      </c>
      <c r="H5" s="6">
        <v>8940</v>
      </c>
      <c r="I5" s="6">
        <v>7030</v>
      </c>
    </row>
    <row r="6" spans="1:9" x14ac:dyDescent="0.65">
      <c r="A6" s="5" t="s">
        <v>3</v>
      </c>
      <c r="B6" s="6" t="s">
        <v>14</v>
      </c>
      <c r="C6" s="6">
        <f>1000*10.99</f>
        <v>10990</v>
      </c>
      <c r="D6" s="6">
        <f>1000*9.93</f>
        <v>9930</v>
      </c>
      <c r="E6" s="6">
        <f>1000*11</f>
        <v>11000</v>
      </c>
      <c r="F6" s="6">
        <v>9320</v>
      </c>
      <c r="G6" s="6">
        <v>11260</v>
      </c>
      <c r="H6" s="6">
        <v>9520</v>
      </c>
      <c r="I6" s="6">
        <v>9400</v>
      </c>
    </row>
    <row r="7" spans="1:9" x14ac:dyDescent="0.65">
      <c r="A7" s="5" t="s">
        <v>4</v>
      </c>
      <c r="B7" s="6" t="s">
        <v>14</v>
      </c>
      <c r="C7" s="6">
        <f>1000*11</f>
        <v>11000</v>
      </c>
      <c r="D7" s="6">
        <f>1000*8.25</f>
        <v>8250</v>
      </c>
      <c r="E7" s="6">
        <f>1000*10.8</f>
        <v>10800</v>
      </c>
      <c r="F7" s="6">
        <v>9630</v>
      </c>
      <c r="G7" s="6">
        <v>11370</v>
      </c>
      <c r="H7" s="6">
        <v>9490</v>
      </c>
      <c r="I7" s="6">
        <v>8850</v>
      </c>
    </row>
    <row r="8" spans="1:9" x14ac:dyDescent="0.65">
      <c r="A8" s="5" t="s">
        <v>5</v>
      </c>
      <c r="B8" s="6" t="s">
        <v>14</v>
      </c>
      <c r="C8" s="6">
        <f>1000*13.2</f>
        <v>13200</v>
      </c>
      <c r="D8" s="6">
        <f>1000*2.87</f>
        <v>2870</v>
      </c>
      <c r="E8" s="6">
        <f>1000*10.84</f>
        <v>10840</v>
      </c>
      <c r="F8" s="6">
        <v>11450</v>
      </c>
      <c r="G8" s="6">
        <v>12440</v>
      </c>
      <c r="H8" s="6">
        <v>9310</v>
      </c>
      <c r="I8" s="6">
        <v>9380</v>
      </c>
    </row>
    <row r="9" spans="1:9" x14ac:dyDescent="0.65">
      <c r="A9" s="5" t="s">
        <v>6</v>
      </c>
      <c r="B9" s="6" t="s">
        <v>14</v>
      </c>
      <c r="C9" s="6">
        <f>1000*11.05</f>
        <v>11050</v>
      </c>
      <c r="D9" s="6">
        <f>1000*9.94</f>
        <v>9940</v>
      </c>
      <c r="E9" s="6">
        <f>1000*10.34</f>
        <v>10340</v>
      </c>
      <c r="F9" s="6">
        <v>10400</v>
      </c>
      <c r="G9" s="6">
        <v>11430</v>
      </c>
      <c r="H9" s="6">
        <v>8440</v>
      </c>
      <c r="I9" s="6"/>
    </row>
    <row r="10" spans="1:9" x14ac:dyDescent="0.65">
      <c r="A10" s="5" t="s">
        <v>7</v>
      </c>
      <c r="B10" s="6">
        <f>1000*0.43</f>
        <v>430</v>
      </c>
      <c r="C10" s="6">
        <f>1000*11.68</f>
        <v>11680</v>
      </c>
      <c r="D10" s="6">
        <f>1000*9.44</f>
        <v>9440</v>
      </c>
      <c r="E10" s="6">
        <f>1000*9.86</f>
        <v>9860</v>
      </c>
      <c r="F10" s="6">
        <v>10610</v>
      </c>
      <c r="G10" s="6">
        <v>10780</v>
      </c>
      <c r="H10" s="6">
        <v>7320</v>
      </c>
      <c r="I10" s="6"/>
    </row>
    <row r="11" spans="1:9" x14ac:dyDescent="0.65">
      <c r="A11" s="5" t="s">
        <v>8</v>
      </c>
      <c r="B11" s="6">
        <f>1000*9.55</f>
        <v>9550</v>
      </c>
      <c r="C11" s="6">
        <f>1000*8.9</f>
        <v>8900</v>
      </c>
      <c r="D11" s="6">
        <f>1000*10.22</f>
        <v>10220</v>
      </c>
      <c r="E11" s="6">
        <f>1000*9.97</f>
        <v>9970</v>
      </c>
      <c r="F11" s="6">
        <v>8310</v>
      </c>
      <c r="G11" s="6">
        <v>3580</v>
      </c>
      <c r="H11" s="6">
        <v>8370</v>
      </c>
      <c r="I11" s="6"/>
    </row>
    <row r="12" spans="1:9" x14ac:dyDescent="0.65">
      <c r="A12" s="5" t="s">
        <v>9</v>
      </c>
      <c r="B12" s="6">
        <f>1000*11.43</f>
        <v>11430</v>
      </c>
      <c r="C12" s="6">
        <f>1000*9.57</f>
        <v>9570</v>
      </c>
      <c r="D12" s="6">
        <f>1000*9.77</f>
        <v>9770</v>
      </c>
      <c r="E12" s="6">
        <f>1000*8.87</f>
        <v>8870</v>
      </c>
      <c r="F12" s="6">
        <v>8960</v>
      </c>
      <c r="G12" s="6">
        <v>1990</v>
      </c>
      <c r="H12" s="6">
        <v>8360</v>
      </c>
      <c r="I12" s="6"/>
    </row>
    <row r="13" spans="1:9" x14ac:dyDescent="0.65">
      <c r="A13" s="5" t="s">
        <v>10</v>
      </c>
      <c r="B13" s="6">
        <f>1000*10.93</f>
        <v>10930</v>
      </c>
      <c r="C13" s="6">
        <f>1000*8.77</f>
        <v>8770</v>
      </c>
      <c r="D13" s="6">
        <f>1000*8.8</f>
        <v>8800</v>
      </c>
      <c r="E13" s="6">
        <v>8950</v>
      </c>
      <c r="F13" s="6">
        <v>8800</v>
      </c>
      <c r="G13" s="6">
        <v>11340</v>
      </c>
      <c r="H13" s="6">
        <v>8530</v>
      </c>
      <c r="I13" s="6"/>
    </row>
    <row r="14" spans="1:9" x14ac:dyDescent="0.65">
      <c r="A14" s="5" t="s">
        <v>11</v>
      </c>
      <c r="B14" s="6" t="s">
        <v>14</v>
      </c>
      <c r="C14" s="6">
        <f>1000*9.69</f>
        <v>9690</v>
      </c>
      <c r="D14" s="6">
        <f>1000*9.11</f>
        <v>9110</v>
      </c>
      <c r="E14" s="6">
        <v>8920</v>
      </c>
      <c r="F14" s="6">
        <v>8880</v>
      </c>
      <c r="G14" s="6">
        <v>9090</v>
      </c>
      <c r="H14" s="6">
        <v>6710</v>
      </c>
      <c r="I14" s="6"/>
    </row>
    <row r="15" spans="1:9" x14ac:dyDescent="0.65">
      <c r="A15" s="5" t="s">
        <v>12</v>
      </c>
      <c r="B15" s="6">
        <f>1000*6.29</f>
        <v>6290</v>
      </c>
      <c r="C15" s="6">
        <f>1000*9.38</f>
        <v>9380</v>
      </c>
      <c r="D15" s="6">
        <f>1000*9.3</f>
        <v>9300</v>
      </c>
      <c r="E15" s="6">
        <v>8260</v>
      </c>
      <c r="F15" s="6">
        <v>8520</v>
      </c>
      <c r="G15" s="6">
        <v>9390</v>
      </c>
      <c r="H15" s="6">
        <v>7600</v>
      </c>
      <c r="I15" s="6"/>
    </row>
    <row r="16" spans="1:9" ht="26.4" x14ac:dyDescent="0.7">
      <c r="A16" s="7" t="s">
        <v>13</v>
      </c>
      <c r="B16" s="8">
        <f>SUM(B4:B15)</f>
        <v>38630</v>
      </c>
      <c r="C16" s="8">
        <f t="shared" ref="C16:E16" si="0">SUM(C4:C15)</f>
        <v>123730</v>
      </c>
      <c r="D16" s="8">
        <f t="shared" si="0"/>
        <v>105530</v>
      </c>
      <c r="E16" s="8">
        <f t="shared" si="0"/>
        <v>116850</v>
      </c>
      <c r="F16" s="8">
        <f t="shared" ref="F16:G16" si="1">SUM(F4:F15)</f>
        <v>111988</v>
      </c>
      <c r="G16" s="8">
        <f t="shared" si="1"/>
        <v>112170</v>
      </c>
      <c r="H16" s="8">
        <f t="shared" ref="H16" si="2">SUM(H4:H15)</f>
        <v>102770</v>
      </c>
      <c r="I16" s="8">
        <f t="shared" ref="I16" si="3">SUM(I4:I15)</f>
        <v>42510</v>
      </c>
    </row>
    <row r="17" spans="2:9" x14ac:dyDescent="0.65">
      <c r="B17" s="9"/>
      <c r="C17" s="9"/>
      <c r="D17" s="9"/>
      <c r="E17" s="9"/>
      <c r="F17" s="9"/>
      <c r="G17" s="9"/>
      <c r="H17" s="9"/>
      <c r="I17" s="9"/>
    </row>
    <row r="18" spans="2:9" hidden="1" x14ac:dyDescent="0.65"/>
    <row r="19" spans="2:9" hidden="1" x14ac:dyDescent="0.65"/>
    <row r="21" spans="2:9" hidden="1" x14ac:dyDescent="0.65"/>
    <row r="22" spans="2:9" hidden="1" x14ac:dyDescent="0.65"/>
    <row r="23" spans="2:9" hidden="1" x14ac:dyDescent="0.65"/>
    <row r="24" spans="2:9" hidden="1" x14ac:dyDescent="0.65"/>
    <row r="25" spans="2:9" hidden="1" x14ac:dyDescent="0.65"/>
    <row r="26" spans="2:9" hidden="1" x14ac:dyDescent="0.65"/>
    <row r="27" spans="2:9" hidden="1" x14ac:dyDescent="0.65"/>
    <row r="28" spans="2:9" hidden="1" x14ac:dyDescent="0.65"/>
    <row r="29" spans="2:9" hidden="1" x14ac:dyDescent="0.65"/>
    <row r="30" spans="2:9" hidden="1" x14ac:dyDescent="0.65"/>
    <row r="31" spans="2:9" hidden="1" x14ac:dyDescent="0.65"/>
    <row r="32" spans="2:9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</sheetData>
  <pageMargins left="0.7" right="0.7" top="0.75" bottom="0.75" header="0.3" footer="0.3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showGridLines="0" view="pageBreakPreview" zoomScaleNormal="100" zoomScaleSheetLayoutView="100" workbookViewId="0">
      <pane ySplit="1836" topLeftCell="A4" activePane="bottomLeft"/>
      <selection activeCell="H3" sqref="H3"/>
      <selection pane="bottomLeft" activeCell="H9" sqref="H9"/>
    </sheetView>
  </sheetViews>
  <sheetFormatPr defaultRowHeight="25.8" x14ac:dyDescent="0.65"/>
  <cols>
    <col min="1" max="1" width="12" style="2" customWidth="1"/>
    <col min="2" max="2" width="12.296875" style="2" hidden="1" customWidth="1"/>
    <col min="3" max="3" width="12.3984375" style="2" customWidth="1"/>
    <col min="4" max="4" width="12.09765625" style="2" customWidth="1"/>
    <col min="5" max="8" width="12.5" style="2" customWidth="1"/>
    <col min="9" max="16384" width="8.796875" style="2"/>
  </cols>
  <sheetData>
    <row r="1" spans="1:8" ht="26.4" x14ac:dyDescent="0.7">
      <c r="A1" s="1" t="s">
        <v>19</v>
      </c>
    </row>
    <row r="2" spans="1:8" x14ac:dyDescent="0.65">
      <c r="A2" s="3" t="s">
        <v>0</v>
      </c>
      <c r="B2" s="3" t="s">
        <v>30</v>
      </c>
      <c r="C2" s="3" t="s">
        <v>29</v>
      </c>
      <c r="D2" s="3" t="s">
        <v>28</v>
      </c>
      <c r="E2" s="3" t="s">
        <v>27</v>
      </c>
      <c r="F2" s="3" t="s">
        <v>26</v>
      </c>
      <c r="G2" s="3" t="s">
        <v>25</v>
      </c>
      <c r="H2" s="3" t="s">
        <v>36</v>
      </c>
    </row>
    <row r="3" spans="1:8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  <c r="H3" s="4" t="s">
        <v>1</v>
      </c>
    </row>
    <row r="4" spans="1:8" x14ac:dyDescent="0.65">
      <c r="A4" s="5" t="s">
        <v>2</v>
      </c>
      <c r="B4" s="6" t="s">
        <v>14</v>
      </c>
      <c r="C4" s="6">
        <f>30.65*1000</f>
        <v>30650</v>
      </c>
      <c r="D4" s="6">
        <f>34.04*1000</f>
        <v>34040</v>
      </c>
      <c r="E4" s="6">
        <v>34040</v>
      </c>
      <c r="F4" s="6">
        <v>26730</v>
      </c>
      <c r="G4" s="6">
        <v>31260</v>
      </c>
      <c r="H4" s="6">
        <v>29210</v>
      </c>
    </row>
    <row r="5" spans="1:8" x14ac:dyDescent="0.65">
      <c r="A5" s="5" t="s">
        <v>21</v>
      </c>
      <c r="B5" s="6" t="s">
        <v>14</v>
      </c>
      <c r="C5" s="6">
        <f>32.67*1000</f>
        <v>32670</v>
      </c>
      <c r="D5" s="6">
        <f>33.91*1000</f>
        <v>33910</v>
      </c>
      <c r="E5" s="6">
        <v>31700</v>
      </c>
      <c r="F5" s="6">
        <v>25820</v>
      </c>
      <c r="G5" s="6">
        <v>31760</v>
      </c>
      <c r="H5" s="6">
        <v>25740</v>
      </c>
    </row>
    <row r="6" spans="1:8" x14ac:dyDescent="0.65">
      <c r="A6" s="5" t="s">
        <v>3</v>
      </c>
      <c r="B6" s="6" t="s">
        <v>14</v>
      </c>
      <c r="C6" s="6">
        <f>25.79*1000</f>
        <v>25790</v>
      </c>
      <c r="D6" s="6">
        <f>37.77*1000</f>
        <v>37770</v>
      </c>
      <c r="E6" s="6">
        <v>34010</v>
      </c>
      <c r="F6" s="6">
        <v>34000</v>
      </c>
      <c r="G6" s="6">
        <v>34730</v>
      </c>
      <c r="H6" s="6">
        <v>30510</v>
      </c>
    </row>
    <row r="7" spans="1:8" x14ac:dyDescent="0.65">
      <c r="A7" s="5" t="s">
        <v>4</v>
      </c>
      <c r="B7" s="6" t="s">
        <v>14</v>
      </c>
      <c r="C7" s="6">
        <f>3.76*1000</f>
        <v>3760</v>
      </c>
      <c r="D7" s="6">
        <f>29.72*1000</f>
        <v>29720</v>
      </c>
      <c r="E7" s="6">
        <v>35850</v>
      </c>
      <c r="F7" s="6">
        <v>34870</v>
      </c>
      <c r="G7" s="6">
        <v>34750</v>
      </c>
      <c r="H7" s="6">
        <v>28940</v>
      </c>
    </row>
    <row r="8" spans="1:8" x14ac:dyDescent="0.65">
      <c r="A8" s="5" t="s">
        <v>5</v>
      </c>
      <c r="B8" s="6" t="s">
        <v>14</v>
      </c>
      <c r="C8" s="6">
        <f>36.79*1000</f>
        <v>36790</v>
      </c>
      <c r="D8" s="6">
        <f>34.88*1000</f>
        <v>34880</v>
      </c>
      <c r="E8" s="6">
        <v>42930</v>
      </c>
      <c r="F8" s="6">
        <v>21560</v>
      </c>
      <c r="G8" s="6">
        <v>27160</v>
      </c>
      <c r="H8" s="6">
        <v>28140</v>
      </c>
    </row>
    <row r="9" spans="1:8" x14ac:dyDescent="0.65">
      <c r="A9" s="5" t="s">
        <v>6</v>
      </c>
      <c r="B9" s="6" t="s">
        <v>14</v>
      </c>
      <c r="C9" s="6">
        <f>30.03*1000</f>
        <v>30030</v>
      </c>
      <c r="D9" s="6">
        <f>38.65*1000</f>
        <v>38650</v>
      </c>
      <c r="E9" s="6">
        <v>38700</v>
      </c>
      <c r="F9" s="6">
        <v>15450</v>
      </c>
      <c r="G9" s="6">
        <v>30910</v>
      </c>
      <c r="H9" s="6"/>
    </row>
    <row r="10" spans="1:8" x14ac:dyDescent="0.65">
      <c r="A10" s="5" t="s">
        <v>7</v>
      </c>
      <c r="B10" s="6" t="s">
        <v>14</v>
      </c>
      <c r="C10" s="6">
        <f>31.83*1000</f>
        <v>31830</v>
      </c>
      <c r="D10" s="6">
        <f>37.11*1000</f>
        <v>37110</v>
      </c>
      <c r="E10" s="6">
        <v>38560</v>
      </c>
      <c r="F10" s="6">
        <v>31570</v>
      </c>
      <c r="G10" s="6">
        <v>25600</v>
      </c>
      <c r="H10" s="6"/>
    </row>
    <row r="11" spans="1:8" x14ac:dyDescent="0.65">
      <c r="A11" s="5" t="s">
        <v>8</v>
      </c>
      <c r="B11" s="6">
        <f>1000*13.51</f>
        <v>13510</v>
      </c>
      <c r="C11" s="6">
        <f>35.05*1000</f>
        <v>35050</v>
      </c>
      <c r="D11" s="6">
        <f>29.57*1000</f>
        <v>29570</v>
      </c>
      <c r="E11" s="6">
        <v>29740</v>
      </c>
      <c r="F11" s="6">
        <v>31000</v>
      </c>
      <c r="G11" s="6">
        <v>19170</v>
      </c>
      <c r="H11" s="6"/>
    </row>
    <row r="12" spans="1:8" x14ac:dyDescent="0.65">
      <c r="A12" s="5" t="s">
        <v>9</v>
      </c>
      <c r="B12" s="6">
        <f>1000*24.2</f>
        <v>24200</v>
      </c>
      <c r="C12" s="6">
        <f>30.25*1000</f>
        <v>30250</v>
      </c>
      <c r="D12" s="6">
        <f>31.38*1000</f>
        <v>31380</v>
      </c>
      <c r="E12" s="6">
        <v>32050</v>
      </c>
      <c r="F12" s="6">
        <v>28380</v>
      </c>
      <c r="G12" s="6">
        <v>30510</v>
      </c>
      <c r="H12" s="6"/>
    </row>
    <row r="13" spans="1:8" x14ac:dyDescent="0.65">
      <c r="A13" s="5" t="s">
        <v>10</v>
      </c>
      <c r="B13" s="6">
        <f>27.37*1000</f>
        <v>27370</v>
      </c>
      <c r="C13" s="6">
        <f>14.26*1000</f>
        <v>14260</v>
      </c>
      <c r="D13" s="6">
        <v>32550</v>
      </c>
      <c r="E13" s="6">
        <v>31750</v>
      </c>
      <c r="F13" s="6">
        <v>27390</v>
      </c>
      <c r="G13" s="6">
        <v>22640</v>
      </c>
      <c r="H13" s="6"/>
    </row>
    <row r="14" spans="1:8" x14ac:dyDescent="0.65">
      <c r="A14" s="5" t="s">
        <v>11</v>
      </c>
      <c r="B14" s="6">
        <f>27.95*1000</f>
        <v>27950</v>
      </c>
      <c r="C14" s="6">
        <f>21.33*1000</f>
        <v>21330</v>
      </c>
      <c r="D14" s="6">
        <v>33310</v>
      </c>
      <c r="E14" s="6">
        <v>32890</v>
      </c>
      <c r="F14" s="6">
        <v>27680</v>
      </c>
      <c r="G14" s="6">
        <v>20750</v>
      </c>
      <c r="H14" s="6"/>
    </row>
    <row r="15" spans="1:8" x14ac:dyDescent="0.65">
      <c r="A15" s="5" t="s">
        <v>12</v>
      </c>
      <c r="B15" s="6">
        <f>35.52*1000</f>
        <v>35520</v>
      </c>
      <c r="C15" s="6">
        <f>24.44*1000</f>
        <v>24440</v>
      </c>
      <c r="D15" s="6">
        <v>29630</v>
      </c>
      <c r="E15" s="6">
        <v>30940</v>
      </c>
      <c r="F15" s="6">
        <v>29500</v>
      </c>
      <c r="G15" s="6">
        <v>28550</v>
      </c>
      <c r="H15" s="6"/>
    </row>
    <row r="16" spans="1:8" ht="26.4" x14ac:dyDescent="0.7">
      <c r="A16" s="7" t="s">
        <v>13</v>
      </c>
      <c r="B16" s="8">
        <f t="shared" ref="B16:D16" si="0">SUM(B4:B15)</f>
        <v>128550</v>
      </c>
      <c r="C16" s="8">
        <f t="shared" si="0"/>
        <v>316850</v>
      </c>
      <c r="D16" s="8">
        <f t="shared" si="0"/>
        <v>402520</v>
      </c>
      <c r="E16" s="8">
        <f t="shared" ref="E16:F16" si="1">SUM(E4:E15)</f>
        <v>413160</v>
      </c>
      <c r="F16" s="8">
        <f t="shared" si="1"/>
        <v>333950</v>
      </c>
      <c r="G16" s="8">
        <f t="shared" ref="G16:H16" si="2">SUM(G4:G15)</f>
        <v>337790</v>
      </c>
      <c r="H16" s="8">
        <f t="shared" si="2"/>
        <v>142540</v>
      </c>
    </row>
    <row r="17" spans="2:8" x14ac:dyDescent="0.65">
      <c r="B17" s="9"/>
      <c r="C17" s="9"/>
      <c r="D17" s="9"/>
      <c r="E17" s="9"/>
      <c r="F17" s="9"/>
      <c r="G17" s="9"/>
      <c r="H17" s="9"/>
    </row>
    <row r="18" spans="2:8" hidden="1" x14ac:dyDescent="0.65"/>
    <row r="19" spans="2:8" hidden="1" x14ac:dyDescent="0.65"/>
    <row r="20" spans="2:8" hidden="1" x14ac:dyDescent="0.65"/>
    <row r="21" spans="2:8" hidden="1" x14ac:dyDescent="0.65"/>
    <row r="22" spans="2:8" hidden="1" x14ac:dyDescent="0.65"/>
    <row r="23" spans="2:8" hidden="1" x14ac:dyDescent="0.65"/>
    <row r="24" spans="2:8" hidden="1" x14ac:dyDescent="0.65"/>
    <row r="25" spans="2:8" hidden="1" x14ac:dyDescent="0.65"/>
    <row r="26" spans="2:8" hidden="1" x14ac:dyDescent="0.65"/>
    <row r="27" spans="2:8" hidden="1" x14ac:dyDescent="0.65"/>
    <row r="28" spans="2:8" hidden="1" x14ac:dyDescent="0.65"/>
    <row r="29" spans="2:8" hidden="1" x14ac:dyDescent="0.65"/>
    <row r="30" spans="2:8" hidden="1" x14ac:dyDescent="0.65"/>
    <row r="31" spans="2:8" hidden="1" x14ac:dyDescent="0.65"/>
    <row r="32" spans="2:8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</sheetData>
  <pageMargins left="0.7" right="0.7" top="0.75" bottom="0.75" header="0.3" footer="0.3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9"/>
  <sheetViews>
    <sheetView showGridLines="0" view="pageBreakPreview" zoomScaleNormal="100" zoomScaleSheetLayoutView="100" workbookViewId="0">
      <pane ySplit="1836" topLeftCell="A4" activePane="bottomLeft"/>
      <selection activeCell="L1" sqref="L1:L1048576"/>
      <selection pane="bottomLeft" activeCell="P10" sqref="P10"/>
    </sheetView>
  </sheetViews>
  <sheetFormatPr defaultRowHeight="25.8" x14ac:dyDescent="0.65"/>
  <cols>
    <col min="1" max="1" width="9.69921875" style="11" customWidth="1"/>
    <col min="2" max="6" width="12.19921875" style="11" hidden="1" customWidth="1"/>
    <col min="7" max="12" width="12.19921875" style="11" customWidth="1"/>
    <col min="13" max="16384" width="8.796875" style="2"/>
  </cols>
  <sheetData>
    <row r="1" spans="1:12" ht="26.4" x14ac:dyDescent="0.7">
      <c r="A1" s="10" t="s">
        <v>16</v>
      </c>
    </row>
    <row r="2" spans="1:12" x14ac:dyDescent="0.65">
      <c r="A2" s="12" t="s">
        <v>0</v>
      </c>
      <c r="B2" s="12" t="s">
        <v>34</v>
      </c>
      <c r="C2" s="12" t="s">
        <v>33</v>
      </c>
      <c r="D2" s="12" t="s">
        <v>32</v>
      </c>
      <c r="E2" s="12" t="s">
        <v>31</v>
      </c>
      <c r="F2" s="3" t="s">
        <v>30</v>
      </c>
      <c r="G2" s="3" t="s">
        <v>29</v>
      </c>
      <c r="H2" s="3" t="s">
        <v>28</v>
      </c>
      <c r="I2" s="3" t="s">
        <v>27</v>
      </c>
      <c r="J2" s="3" t="s">
        <v>26</v>
      </c>
      <c r="K2" s="3" t="s">
        <v>25</v>
      </c>
      <c r="L2" s="3" t="s">
        <v>36</v>
      </c>
    </row>
    <row r="3" spans="1:12" x14ac:dyDescent="0.65">
      <c r="A3" s="13"/>
      <c r="B3" s="13" t="s">
        <v>1</v>
      </c>
      <c r="C3" s="13" t="s">
        <v>1</v>
      </c>
      <c r="D3" s="13" t="s">
        <v>1</v>
      </c>
      <c r="E3" s="13" t="s">
        <v>1</v>
      </c>
      <c r="F3" s="4" t="s">
        <v>1</v>
      </c>
      <c r="G3" s="4" t="s">
        <v>1</v>
      </c>
      <c r="H3" s="4" t="s">
        <v>1</v>
      </c>
      <c r="I3" s="4" t="s">
        <v>1</v>
      </c>
      <c r="J3" s="4" t="s">
        <v>1</v>
      </c>
      <c r="K3" s="4" t="s">
        <v>1</v>
      </c>
      <c r="L3" s="4" t="s">
        <v>1</v>
      </c>
    </row>
    <row r="4" spans="1:12" x14ac:dyDescent="0.65">
      <c r="A4" s="14" t="s">
        <v>2</v>
      </c>
      <c r="B4" s="15" t="s">
        <v>14</v>
      </c>
      <c r="C4" s="15">
        <v>1763.55</v>
      </c>
      <c r="D4" s="15">
        <v>1798.37</v>
      </c>
      <c r="E4" s="15">
        <v>1787.43</v>
      </c>
      <c r="F4" s="15">
        <v>1721.69</v>
      </c>
      <c r="G4" s="15">
        <v>1555.28</v>
      </c>
      <c r="H4" s="15">
        <v>1610.74</v>
      </c>
      <c r="I4" s="15">
        <v>1075.95</v>
      </c>
      <c r="J4" s="15" t="s">
        <v>14</v>
      </c>
      <c r="K4" s="15" t="s">
        <v>14</v>
      </c>
      <c r="L4" s="15" t="s">
        <v>14</v>
      </c>
    </row>
    <row r="5" spans="1:12" x14ac:dyDescent="0.65">
      <c r="A5" s="14" t="s">
        <v>21</v>
      </c>
      <c r="B5" s="15" t="s">
        <v>14</v>
      </c>
      <c r="C5" s="15">
        <v>2021.25</v>
      </c>
      <c r="D5" s="15">
        <v>1827.58</v>
      </c>
      <c r="E5" s="15">
        <v>1746.66</v>
      </c>
      <c r="F5" s="15">
        <v>1610.51</v>
      </c>
      <c r="G5" s="15">
        <v>1602.62</v>
      </c>
      <c r="H5" s="15">
        <v>1652.2</v>
      </c>
      <c r="I5" s="15">
        <v>1493.61</v>
      </c>
      <c r="J5" s="15" t="s">
        <v>14</v>
      </c>
      <c r="K5" s="15" t="s">
        <v>14</v>
      </c>
      <c r="L5" s="15" t="s">
        <v>14</v>
      </c>
    </row>
    <row r="6" spans="1:12" x14ac:dyDescent="0.65">
      <c r="A6" s="14" t="s">
        <v>3</v>
      </c>
      <c r="B6" s="15" t="s">
        <v>14</v>
      </c>
      <c r="C6" s="15">
        <v>2077.63</v>
      </c>
      <c r="D6" s="15">
        <v>1970.05</v>
      </c>
      <c r="E6" s="15">
        <v>1835.24</v>
      </c>
      <c r="F6" s="15">
        <v>1806.81</v>
      </c>
      <c r="G6" s="15">
        <v>1648.89</v>
      </c>
      <c r="H6" s="15">
        <v>1796.41</v>
      </c>
      <c r="I6" s="15">
        <v>1566.98</v>
      </c>
      <c r="J6" s="15" t="s">
        <v>14</v>
      </c>
      <c r="K6" s="15" t="s">
        <v>14</v>
      </c>
      <c r="L6" s="15" t="s">
        <v>14</v>
      </c>
    </row>
    <row r="7" spans="1:12" x14ac:dyDescent="0.65">
      <c r="A7" s="14" t="s">
        <v>4</v>
      </c>
      <c r="B7" s="15" t="s">
        <v>14</v>
      </c>
      <c r="C7" s="15">
        <v>1944.06</v>
      </c>
      <c r="D7" s="15">
        <v>1918.79</v>
      </c>
      <c r="E7" s="15">
        <v>1738.86</v>
      </c>
      <c r="F7" s="15">
        <v>1673.13</v>
      </c>
      <c r="G7" s="15">
        <v>1577.48</v>
      </c>
      <c r="H7" s="15">
        <v>1206.68</v>
      </c>
      <c r="I7" s="15">
        <v>1465.86</v>
      </c>
      <c r="J7" s="15" t="s">
        <v>14</v>
      </c>
      <c r="K7" s="15" t="s">
        <v>14</v>
      </c>
      <c r="L7" s="15" t="s">
        <v>14</v>
      </c>
    </row>
    <row r="8" spans="1:12" x14ac:dyDescent="0.65">
      <c r="A8" s="14" t="s">
        <v>5</v>
      </c>
      <c r="B8" s="15" t="s">
        <v>14</v>
      </c>
      <c r="C8" s="15">
        <v>1852.23</v>
      </c>
      <c r="D8" s="15">
        <v>1747.33</v>
      </c>
      <c r="E8" s="15">
        <v>1688.08</v>
      </c>
      <c r="F8" s="15">
        <v>1726.76</v>
      </c>
      <c r="G8" s="15">
        <v>1693.15</v>
      </c>
      <c r="H8" s="15" t="s">
        <v>14</v>
      </c>
      <c r="I8" s="15">
        <v>1557.61</v>
      </c>
      <c r="J8" s="15" t="s">
        <v>14</v>
      </c>
      <c r="K8" s="15" t="s">
        <v>14</v>
      </c>
      <c r="L8" s="15" t="s">
        <v>14</v>
      </c>
    </row>
    <row r="9" spans="1:12" x14ac:dyDescent="0.65">
      <c r="A9" s="14" t="s">
        <v>6</v>
      </c>
      <c r="B9" s="15" t="s">
        <v>14</v>
      </c>
      <c r="C9" s="15">
        <v>1610.5</v>
      </c>
      <c r="D9" s="15">
        <v>1476.54</v>
      </c>
      <c r="E9" s="15">
        <v>1587.33</v>
      </c>
      <c r="F9" s="15">
        <v>1482.56</v>
      </c>
      <c r="G9" s="15">
        <v>1393.42</v>
      </c>
      <c r="H9" s="15" t="s">
        <v>14</v>
      </c>
      <c r="I9" s="15">
        <v>261.67</v>
      </c>
      <c r="J9" s="15" t="s">
        <v>14</v>
      </c>
      <c r="K9" s="15" t="s">
        <v>14</v>
      </c>
      <c r="L9" s="15" t="s">
        <v>14</v>
      </c>
    </row>
    <row r="10" spans="1:12" x14ac:dyDescent="0.65">
      <c r="A10" s="14" t="s">
        <v>7</v>
      </c>
      <c r="B10" s="15" t="s">
        <v>14</v>
      </c>
      <c r="C10" s="15">
        <v>1630.91</v>
      </c>
      <c r="D10" s="15">
        <v>1462.64</v>
      </c>
      <c r="E10" s="15">
        <v>1486.81</v>
      </c>
      <c r="F10" s="15">
        <v>1574.84</v>
      </c>
      <c r="G10" s="15">
        <v>1141.69</v>
      </c>
      <c r="H10" s="15" t="s">
        <v>14</v>
      </c>
      <c r="I10" s="15" t="s">
        <v>14</v>
      </c>
      <c r="J10" s="15" t="s">
        <v>14</v>
      </c>
      <c r="K10" s="15" t="s">
        <v>14</v>
      </c>
      <c r="L10" s="15" t="s">
        <v>14</v>
      </c>
    </row>
    <row r="11" spans="1:12" x14ac:dyDescent="0.65">
      <c r="A11" s="14" t="s">
        <v>8</v>
      </c>
      <c r="B11" s="15" t="s">
        <v>14</v>
      </c>
      <c r="C11" s="15">
        <v>1666.37</v>
      </c>
      <c r="D11" s="15">
        <v>1434.33</v>
      </c>
      <c r="E11" s="15">
        <v>1361.93</v>
      </c>
      <c r="F11" s="15">
        <v>1290.96</v>
      </c>
      <c r="G11" s="15">
        <v>1487.8</v>
      </c>
      <c r="H11" s="15" t="s">
        <v>14</v>
      </c>
      <c r="I11" s="15" t="s">
        <v>14</v>
      </c>
      <c r="J11" s="15" t="s">
        <v>14</v>
      </c>
      <c r="K11" s="15" t="s">
        <v>14</v>
      </c>
      <c r="L11" s="15" t="s">
        <v>14</v>
      </c>
    </row>
    <row r="12" spans="1:12" x14ac:dyDescent="0.65">
      <c r="A12" s="14" t="s">
        <v>9</v>
      </c>
      <c r="B12" s="15" t="s">
        <v>14</v>
      </c>
      <c r="C12" s="15">
        <v>1714.26</v>
      </c>
      <c r="D12" s="15">
        <v>1703.64</v>
      </c>
      <c r="E12" s="15">
        <v>1752.94</v>
      </c>
      <c r="F12" s="15">
        <v>1510.91</v>
      </c>
      <c r="G12" s="15">
        <v>1533.24</v>
      </c>
      <c r="H12" s="15" t="s">
        <v>14</v>
      </c>
      <c r="I12" s="15" t="s">
        <v>14</v>
      </c>
      <c r="J12" s="15" t="s">
        <v>14</v>
      </c>
      <c r="K12" s="15" t="s">
        <v>14</v>
      </c>
      <c r="L12" s="15" t="s">
        <v>14</v>
      </c>
    </row>
    <row r="13" spans="1:12" x14ac:dyDescent="0.65">
      <c r="A13" s="14" t="s">
        <v>10</v>
      </c>
      <c r="B13" s="15" t="s">
        <v>14</v>
      </c>
      <c r="C13" s="15">
        <v>1809.83</v>
      </c>
      <c r="D13" s="15">
        <v>1795.18</v>
      </c>
      <c r="E13" s="15">
        <v>1830.42</v>
      </c>
      <c r="F13" s="15">
        <v>1435.28</v>
      </c>
      <c r="G13" s="15">
        <v>1459.91</v>
      </c>
      <c r="H13" s="15" t="s">
        <v>14</v>
      </c>
      <c r="I13" s="15" t="s">
        <v>14</v>
      </c>
      <c r="J13" s="15" t="s">
        <v>14</v>
      </c>
      <c r="K13" s="15"/>
      <c r="L13" s="15"/>
    </row>
    <row r="14" spans="1:12" x14ac:dyDescent="0.65">
      <c r="A14" s="14" t="s">
        <v>11</v>
      </c>
      <c r="B14" s="15" t="s">
        <v>14</v>
      </c>
      <c r="C14" s="15">
        <v>1735.74</v>
      </c>
      <c r="D14" s="15">
        <v>1813.93</v>
      </c>
      <c r="E14" s="15">
        <v>1750.26</v>
      </c>
      <c r="F14" s="15">
        <v>1654.92</v>
      </c>
      <c r="G14" s="15">
        <v>1561.64</v>
      </c>
      <c r="H14" s="15" t="s">
        <v>14</v>
      </c>
      <c r="I14" s="15" t="s">
        <v>14</v>
      </c>
      <c r="J14" s="15" t="s">
        <v>14</v>
      </c>
      <c r="K14" s="15"/>
      <c r="L14" s="15"/>
    </row>
    <row r="15" spans="1:12" x14ac:dyDescent="0.65">
      <c r="A15" s="14" t="s">
        <v>12</v>
      </c>
      <c r="B15" s="15">
        <v>1398.18</v>
      </c>
      <c r="C15" s="15">
        <v>1761.47</v>
      </c>
      <c r="D15" s="15">
        <v>1501.71</v>
      </c>
      <c r="E15" s="15">
        <v>1550.8</v>
      </c>
      <c r="F15" s="15">
        <v>1692.39</v>
      </c>
      <c r="G15" s="15">
        <v>1633.91</v>
      </c>
      <c r="H15" s="15" t="s">
        <v>14</v>
      </c>
      <c r="I15" s="15" t="s">
        <v>14</v>
      </c>
      <c r="J15" s="15" t="s">
        <v>14</v>
      </c>
      <c r="K15" s="15"/>
      <c r="L15" s="15"/>
    </row>
    <row r="16" spans="1:12" ht="26.4" x14ac:dyDescent="0.7">
      <c r="A16" s="16" t="s">
        <v>13</v>
      </c>
      <c r="B16" s="17">
        <f>SUM(B4:B15)</f>
        <v>1398.18</v>
      </c>
      <c r="C16" s="17">
        <f>SUM(C4:C15)</f>
        <v>21587.800000000003</v>
      </c>
      <c r="D16" s="17">
        <f t="shared" ref="D16:H16" si="0">SUM(D4:D15)</f>
        <v>20450.089999999997</v>
      </c>
      <c r="E16" s="17">
        <f t="shared" si="0"/>
        <v>20116.759999999998</v>
      </c>
      <c r="F16" s="17">
        <f t="shared" si="0"/>
        <v>19180.759999999998</v>
      </c>
      <c r="G16" s="17">
        <f t="shared" si="0"/>
        <v>18289.03</v>
      </c>
      <c r="H16" s="17">
        <f t="shared" si="0"/>
        <v>6266.0300000000007</v>
      </c>
      <c r="I16" s="17">
        <f t="shared" ref="I16:J16" si="1">SUM(I4:I15)</f>
        <v>7421.6799999999994</v>
      </c>
      <c r="J16" s="17">
        <f t="shared" si="1"/>
        <v>0</v>
      </c>
      <c r="K16" s="17">
        <f t="shared" ref="K16" si="2">SUM(K4:K15)</f>
        <v>0</v>
      </c>
      <c r="L16" s="17">
        <f t="shared" ref="L16" si="3">SUM(L4:L15)</f>
        <v>0</v>
      </c>
    </row>
    <row r="17" spans="3:12" x14ac:dyDescent="0.65"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3:12" hidden="1" x14ac:dyDescent="0.65"/>
    <row r="19" spans="3:12" hidden="1" x14ac:dyDescent="0.65"/>
    <row r="20" spans="3:12" hidden="1" x14ac:dyDescent="0.65"/>
    <row r="21" spans="3:12" hidden="1" x14ac:dyDescent="0.65"/>
    <row r="22" spans="3:12" hidden="1" x14ac:dyDescent="0.65"/>
    <row r="23" spans="3:12" hidden="1" x14ac:dyDescent="0.65"/>
    <row r="24" spans="3:12" hidden="1" x14ac:dyDescent="0.65"/>
    <row r="25" spans="3:12" hidden="1" x14ac:dyDescent="0.65"/>
    <row r="26" spans="3:12" hidden="1" x14ac:dyDescent="0.65"/>
    <row r="27" spans="3:12" hidden="1" x14ac:dyDescent="0.65"/>
    <row r="28" spans="3:12" hidden="1" x14ac:dyDescent="0.65"/>
    <row r="29" spans="3:12" hidden="1" x14ac:dyDescent="0.65"/>
    <row r="30" spans="3:12" hidden="1" x14ac:dyDescent="0.65"/>
    <row r="31" spans="3:12" hidden="1" x14ac:dyDescent="0.65"/>
    <row r="32" spans="3:12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  <row r="96" hidden="1" x14ac:dyDescent="0.65"/>
    <row r="97" hidden="1" x14ac:dyDescent="0.65"/>
    <row r="98" hidden="1" x14ac:dyDescent="0.65"/>
    <row r="99" hidden="1" x14ac:dyDescent="0.65"/>
    <row r="100" hidden="1" x14ac:dyDescent="0.65"/>
    <row r="101" hidden="1" x14ac:dyDescent="0.65"/>
    <row r="102" hidden="1" x14ac:dyDescent="0.65"/>
    <row r="103" hidden="1" x14ac:dyDescent="0.65"/>
    <row r="104" hidden="1" x14ac:dyDescent="0.65"/>
    <row r="105" hidden="1" x14ac:dyDescent="0.65"/>
    <row r="106" hidden="1" x14ac:dyDescent="0.65"/>
    <row r="107" hidden="1" x14ac:dyDescent="0.65"/>
    <row r="108" hidden="1" x14ac:dyDescent="0.65"/>
    <row r="109" hidden="1" x14ac:dyDescent="0.65"/>
  </sheetData>
  <pageMargins left="0.7" right="0.7" top="0.75" bottom="0.75" header="0.3" footer="0.3"/>
  <pageSetup paperSize="9" scale="9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showGridLines="0" view="pageBreakPreview" zoomScaleNormal="100" zoomScaleSheetLayoutView="100" workbookViewId="0">
      <pane ySplit="1836" topLeftCell="A4" activePane="bottomLeft"/>
      <selection activeCell="K1" sqref="K1:K1048576"/>
      <selection pane="bottomLeft" activeCell="O8" sqref="O8"/>
    </sheetView>
  </sheetViews>
  <sheetFormatPr defaultRowHeight="25.8" x14ac:dyDescent="0.65"/>
  <cols>
    <col min="1" max="1" width="11.69921875" style="11" customWidth="1"/>
    <col min="2" max="5" width="11.69921875" style="11" hidden="1" customWidth="1"/>
    <col min="6" max="11" width="11.69921875" style="11" customWidth="1"/>
    <col min="12" max="16384" width="8.796875" style="2"/>
  </cols>
  <sheetData>
    <row r="1" spans="1:11" ht="26.4" x14ac:dyDescent="0.65">
      <c r="A1" s="19" t="s">
        <v>18</v>
      </c>
    </row>
    <row r="2" spans="1:11" x14ac:dyDescent="0.65">
      <c r="A2" s="12" t="s">
        <v>0</v>
      </c>
      <c r="B2" s="12" t="s">
        <v>32</v>
      </c>
      <c r="C2" s="12" t="s">
        <v>31</v>
      </c>
      <c r="D2" s="12" t="s">
        <v>31</v>
      </c>
      <c r="E2" s="3" t="s">
        <v>30</v>
      </c>
      <c r="F2" s="3" t="s">
        <v>29</v>
      </c>
      <c r="G2" s="3" t="s">
        <v>28</v>
      </c>
      <c r="H2" s="3" t="s">
        <v>27</v>
      </c>
      <c r="I2" s="3" t="s">
        <v>26</v>
      </c>
      <c r="J2" s="3" t="s">
        <v>25</v>
      </c>
      <c r="K2" s="3" t="s">
        <v>36</v>
      </c>
    </row>
    <row r="3" spans="1:11" x14ac:dyDescent="0.65">
      <c r="A3" s="13"/>
      <c r="B3" s="13" t="s">
        <v>1</v>
      </c>
      <c r="C3" s="13" t="s">
        <v>1</v>
      </c>
      <c r="D3" s="13" t="s">
        <v>1</v>
      </c>
      <c r="E3" s="13" t="s">
        <v>1</v>
      </c>
      <c r="F3" s="13" t="s">
        <v>1</v>
      </c>
      <c r="G3" s="13" t="s">
        <v>1</v>
      </c>
      <c r="H3" s="13" t="s">
        <v>1</v>
      </c>
      <c r="I3" s="13" t="s">
        <v>1</v>
      </c>
      <c r="J3" s="13" t="s">
        <v>1</v>
      </c>
      <c r="K3" s="13" t="s">
        <v>1</v>
      </c>
    </row>
    <row r="4" spans="1:11" x14ac:dyDescent="0.65">
      <c r="A4" s="14" t="s">
        <v>2</v>
      </c>
      <c r="B4" s="15" t="s">
        <v>14</v>
      </c>
      <c r="C4" s="15">
        <v>2870.54</v>
      </c>
      <c r="D4" s="15">
        <v>2776.79</v>
      </c>
      <c r="E4" s="15">
        <v>2435.4</v>
      </c>
      <c r="F4" s="15">
        <v>2107.5300000000002</v>
      </c>
      <c r="G4" s="15">
        <v>1399.55</v>
      </c>
      <c r="H4" s="15">
        <v>788.25</v>
      </c>
      <c r="I4" s="15" t="s">
        <v>14</v>
      </c>
      <c r="J4" s="15" t="s">
        <v>14</v>
      </c>
      <c r="K4" s="15" t="s">
        <v>14</v>
      </c>
    </row>
    <row r="5" spans="1:11" x14ac:dyDescent="0.65">
      <c r="A5" s="14" t="s">
        <v>21</v>
      </c>
      <c r="B5" s="15" t="s">
        <v>14</v>
      </c>
      <c r="C5" s="15">
        <v>3173.06</v>
      </c>
      <c r="D5" s="15">
        <v>2976.86</v>
      </c>
      <c r="E5" s="15">
        <v>2487.81</v>
      </c>
      <c r="F5" s="15">
        <v>2310.4299999999998</v>
      </c>
      <c r="G5" s="15">
        <v>1481.34</v>
      </c>
      <c r="H5" s="15">
        <v>914.15</v>
      </c>
      <c r="I5" s="15" t="s">
        <v>14</v>
      </c>
      <c r="J5" s="15" t="s">
        <v>14</v>
      </c>
      <c r="K5" s="15" t="s">
        <v>14</v>
      </c>
    </row>
    <row r="6" spans="1:11" x14ac:dyDescent="0.65">
      <c r="A6" s="14" t="s">
        <v>3</v>
      </c>
      <c r="B6" s="15" t="s">
        <v>14</v>
      </c>
      <c r="C6" s="15">
        <v>3625.45</v>
      </c>
      <c r="D6" s="15">
        <v>3527.95</v>
      </c>
      <c r="E6" s="15">
        <v>3167.12</v>
      </c>
      <c r="F6" s="15">
        <v>2744.75</v>
      </c>
      <c r="G6" s="15">
        <v>1947.01</v>
      </c>
      <c r="H6" s="15">
        <v>108.81</v>
      </c>
      <c r="I6" s="15" t="s">
        <v>14</v>
      </c>
      <c r="J6" s="15" t="s">
        <v>14</v>
      </c>
      <c r="K6" s="15" t="s">
        <v>14</v>
      </c>
    </row>
    <row r="7" spans="1:11" x14ac:dyDescent="0.65">
      <c r="A7" s="14" t="s">
        <v>4</v>
      </c>
      <c r="B7" s="15" t="s">
        <v>14</v>
      </c>
      <c r="C7" s="15">
        <v>4033.93</v>
      </c>
      <c r="D7" s="15">
        <v>3715.1</v>
      </c>
      <c r="E7" s="15">
        <v>3297.05</v>
      </c>
      <c r="F7" s="15">
        <v>2677.97</v>
      </c>
      <c r="G7" s="15">
        <v>2110.94</v>
      </c>
      <c r="H7" s="15" t="s">
        <v>14</v>
      </c>
      <c r="I7" s="15" t="s">
        <v>14</v>
      </c>
      <c r="J7" s="15" t="s">
        <v>14</v>
      </c>
      <c r="K7" s="15" t="s">
        <v>14</v>
      </c>
    </row>
    <row r="8" spans="1:11" x14ac:dyDescent="0.65">
      <c r="A8" s="14" t="s">
        <v>5</v>
      </c>
      <c r="B8" s="15" t="s">
        <v>14</v>
      </c>
      <c r="C8" s="15">
        <v>4406.71</v>
      </c>
      <c r="D8" s="15">
        <v>4204.6899999999996</v>
      </c>
      <c r="E8" s="15">
        <v>4227.54</v>
      </c>
      <c r="F8" s="15">
        <v>3153.01</v>
      </c>
      <c r="G8" s="15">
        <v>1978.75</v>
      </c>
      <c r="H8" s="15" t="s">
        <v>14</v>
      </c>
      <c r="I8" s="15" t="s">
        <v>14</v>
      </c>
      <c r="J8" s="15" t="s">
        <v>14</v>
      </c>
      <c r="K8" s="15" t="s">
        <v>14</v>
      </c>
    </row>
    <row r="9" spans="1:11" x14ac:dyDescent="0.65">
      <c r="A9" s="14" t="s">
        <v>6</v>
      </c>
      <c r="B9" s="15" t="s">
        <v>14</v>
      </c>
      <c r="C9" s="15">
        <v>3600.2</v>
      </c>
      <c r="D9" s="15">
        <v>3813.88</v>
      </c>
      <c r="E9" s="15">
        <v>3461.19</v>
      </c>
      <c r="F9" s="15">
        <v>2267.83</v>
      </c>
      <c r="G9" s="15">
        <v>1709.26</v>
      </c>
      <c r="H9" s="15" t="s">
        <v>14</v>
      </c>
      <c r="I9" s="15" t="s">
        <v>14</v>
      </c>
      <c r="J9" s="15" t="s">
        <v>14</v>
      </c>
      <c r="K9" s="15" t="s">
        <v>14</v>
      </c>
    </row>
    <row r="10" spans="1:11" x14ac:dyDescent="0.65">
      <c r="A10" s="14" t="s">
        <v>7</v>
      </c>
      <c r="B10" s="15" t="s">
        <v>14</v>
      </c>
      <c r="C10" s="15">
        <v>3194</v>
      </c>
      <c r="D10" s="15">
        <v>3317.02</v>
      </c>
      <c r="E10" s="15">
        <v>3491.93</v>
      </c>
      <c r="F10" s="15">
        <v>2031.45</v>
      </c>
      <c r="G10" s="15">
        <v>1528.22</v>
      </c>
      <c r="H10" s="15" t="s">
        <v>14</v>
      </c>
      <c r="I10" s="15" t="s">
        <v>14</v>
      </c>
      <c r="J10" s="15" t="s">
        <v>14</v>
      </c>
      <c r="K10" s="15" t="s">
        <v>14</v>
      </c>
    </row>
    <row r="11" spans="1:11" x14ac:dyDescent="0.65">
      <c r="A11" s="14" t="s">
        <v>8</v>
      </c>
      <c r="B11" s="15">
        <v>674.89</v>
      </c>
      <c r="C11" s="15">
        <v>3249.73</v>
      </c>
      <c r="D11" s="15">
        <v>2931.58</v>
      </c>
      <c r="E11" s="15">
        <v>2590.9299999999998</v>
      </c>
      <c r="F11" s="15">
        <v>1958.93</v>
      </c>
      <c r="G11" s="15">
        <v>1311.3</v>
      </c>
      <c r="H11" s="15" t="s">
        <v>14</v>
      </c>
      <c r="I11" s="15" t="s">
        <v>14</v>
      </c>
      <c r="J11" s="15" t="s">
        <v>14</v>
      </c>
      <c r="K11" s="15" t="s">
        <v>14</v>
      </c>
    </row>
    <row r="12" spans="1:11" x14ac:dyDescent="0.65">
      <c r="A12" s="14" t="s">
        <v>9</v>
      </c>
      <c r="B12" s="15">
        <v>3527.45</v>
      </c>
      <c r="C12" s="15">
        <v>3496.93</v>
      </c>
      <c r="D12" s="15">
        <v>3364.53</v>
      </c>
      <c r="E12" s="15">
        <v>2588.25</v>
      </c>
      <c r="F12" s="15">
        <v>1688.58</v>
      </c>
      <c r="G12" s="15">
        <v>1057.1600000000001</v>
      </c>
      <c r="H12" s="15" t="s">
        <v>14</v>
      </c>
      <c r="I12" s="15" t="s">
        <v>14</v>
      </c>
      <c r="J12" s="15" t="s">
        <v>14</v>
      </c>
      <c r="K12" s="15" t="s">
        <v>14</v>
      </c>
    </row>
    <row r="13" spans="1:11" x14ac:dyDescent="0.65">
      <c r="A13" s="14" t="s">
        <v>10</v>
      </c>
      <c r="B13" s="15">
        <v>3284.58</v>
      </c>
      <c r="C13" s="15">
        <v>3198.51</v>
      </c>
      <c r="D13" s="15">
        <v>3183.48</v>
      </c>
      <c r="E13" s="15">
        <v>2262.02</v>
      </c>
      <c r="F13" s="15">
        <v>1506.9</v>
      </c>
      <c r="G13" s="15">
        <v>979.04</v>
      </c>
      <c r="H13" s="15" t="s">
        <v>14</v>
      </c>
      <c r="I13" s="15" t="s">
        <v>14</v>
      </c>
      <c r="J13" s="15" t="s">
        <v>14</v>
      </c>
      <c r="K13" s="15" t="s">
        <v>14</v>
      </c>
    </row>
    <row r="14" spans="1:11" x14ac:dyDescent="0.65">
      <c r="A14" s="14" t="s">
        <v>11</v>
      </c>
      <c r="B14" s="15">
        <v>2837.73</v>
      </c>
      <c r="C14" s="15">
        <v>2872.86</v>
      </c>
      <c r="D14" s="15">
        <v>2576.44</v>
      </c>
      <c r="E14" s="15">
        <v>2328.8200000000002</v>
      </c>
      <c r="F14" s="15">
        <v>1364.08</v>
      </c>
      <c r="G14" s="15">
        <v>873.74</v>
      </c>
      <c r="H14" s="15" t="s">
        <v>14</v>
      </c>
      <c r="I14" s="15" t="s">
        <v>14</v>
      </c>
      <c r="J14" s="15"/>
      <c r="K14" s="15"/>
    </row>
    <row r="15" spans="1:11" x14ac:dyDescent="0.65">
      <c r="A15" s="14" t="s">
        <v>12</v>
      </c>
      <c r="B15" s="15">
        <v>2674.04</v>
      </c>
      <c r="C15" s="15">
        <v>2432.1799999999998</v>
      </c>
      <c r="D15" s="15">
        <v>2339.27</v>
      </c>
      <c r="E15" s="15">
        <v>2186.69</v>
      </c>
      <c r="F15" s="15">
        <v>1292.69</v>
      </c>
      <c r="G15" s="15">
        <v>725.98</v>
      </c>
      <c r="H15" s="15" t="s">
        <v>14</v>
      </c>
      <c r="I15" s="15" t="s">
        <v>14</v>
      </c>
      <c r="J15" s="15"/>
      <c r="K15" s="15"/>
    </row>
    <row r="16" spans="1:11" ht="26.4" x14ac:dyDescent="0.7">
      <c r="A16" s="16" t="s">
        <v>13</v>
      </c>
      <c r="B16" s="17">
        <f>SUM(B4:B15)</f>
        <v>12998.689999999999</v>
      </c>
      <c r="C16" s="17">
        <f t="shared" ref="C16:G16" si="0">SUM(C4:C15)</f>
        <v>40154.1</v>
      </c>
      <c r="D16" s="17">
        <f t="shared" si="0"/>
        <v>38727.590000000004</v>
      </c>
      <c r="E16" s="17">
        <f t="shared" si="0"/>
        <v>34524.75</v>
      </c>
      <c r="F16" s="17">
        <f t="shared" si="0"/>
        <v>25104.150000000005</v>
      </c>
      <c r="G16" s="17">
        <f t="shared" si="0"/>
        <v>17102.29</v>
      </c>
      <c r="H16" s="17">
        <f t="shared" ref="H16:I16" si="1">SUM(H4:H15)</f>
        <v>1811.21</v>
      </c>
      <c r="I16" s="17">
        <f t="shared" si="1"/>
        <v>0</v>
      </c>
      <c r="J16" s="17">
        <f t="shared" ref="J16:K16" si="2">SUM(J4:J15)</f>
        <v>0</v>
      </c>
      <c r="K16" s="17">
        <f t="shared" si="2"/>
        <v>0</v>
      </c>
    </row>
    <row r="18" hidden="1" x14ac:dyDescent="0.65"/>
    <row r="19" hidden="1" x14ac:dyDescent="0.65"/>
    <row r="20" hidden="1" x14ac:dyDescent="0.65"/>
    <row r="21" hidden="1" x14ac:dyDescent="0.65"/>
    <row r="22" hidden="1" x14ac:dyDescent="0.65"/>
    <row r="23" hidden="1" x14ac:dyDescent="0.65"/>
    <row r="24" hidden="1" x14ac:dyDescent="0.65"/>
    <row r="25" hidden="1" x14ac:dyDescent="0.65"/>
    <row r="26" hidden="1" x14ac:dyDescent="0.65"/>
    <row r="27" hidden="1" x14ac:dyDescent="0.65"/>
    <row r="29" ht="18.600000000000001" hidden="1" customHeight="1" x14ac:dyDescent="0.65"/>
    <row r="30" hidden="1" x14ac:dyDescent="0.65"/>
    <row r="31" hidden="1" x14ac:dyDescent="0.65"/>
    <row r="32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showGridLines="0" view="pageBreakPreview" zoomScaleNormal="100" zoomScaleSheetLayoutView="100" workbookViewId="0">
      <pane ySplit="1836" topLeftCell="A4" activePane="bottomLeft"/>
      <selection activeCell="E1" sqref="E1:E1048576"/>
      <selection pane="bottomLeft" activeCell="P16" sqref="P16"/>
    </sheetView>
  </sheetViews>
  <sheetFormatPr defaultRowHeight="25.8" x14ac:dyDescent="0.65"/>
  <cols>
    <col min="1" max="1" width="11.69921875" style="11" customWidth="1"/>
    <col min="2" max="5" width="11.69921875" style="11" hidden="1" customWidth="1"/>
    <col min="6" max="11" width="11.69921875" style="11" customWidth="1"/>
    <col min="12" max="16384" width="8.796875" style="2"/>
  </cols>
  <sheetData>
    <row r="1" spans="1:11" ht="26.4" x14ac:dyDescent="0.65">
      <c r="A1" s="19" t="s">
        <v>20</v>
      </c>
    </row>
    <row r="2" spans="1:11" x14ac:dyDescent="0.65">
      <c r="A2" s="12" t="s">
        <v>0</v>
      </c>
      <c r="B2" s="12" t="s">
        <v>33</v>
      </c>
      <c r="C2" s="12" t="s">
        <v>32</v>
      </c>
      <c r="D2" s="12" t="s">
        <v>31</v>
      </c>
      <c r="E2" s="3" t="s">
        <v>30</v>
      </c>
      <c r="F2" s="3" t="s">
        <v>29</v>
      </c>
      <c r="G2" s="3" t="s">
        <v>28</v>
      </c>
      <c r="H2" s="3" t="s">
        <v>27</v>
      </c>
      <c r="I2" s="3" t="s">
        <v>26</v>
      </c>
      <c r="J2" s="3" t="s">
        <v>25</v>
      </c>
      <c r="K2" s="3" t="s">
        <v>36</v>
      </c>
    </row>
    <row r="3" spans="1:11" x14ac:dyDescent="0.65">
      <c r="A3" s="13"/>
      <c r="B3" s="13" t="s">
        <v>1</v>
      </c>
      <c r="C3" s="13" t="s">
        <v>1</v>
      </c>
      <c r="D3" s="13" t="s">
        <v>1</v>
      </c>
      <c r="E3" s="13" t="s">
        <v>1</v>
      </c>
      <c r="F3" s="13" t="s">
        <v>1</v>
      </c>
      <c r="G3" s="13" t="s">
        <v>1</v>
      </c>
      <c r="H3" s="13" t="s">
        <v>1</v>
      </c>
      <c r="I3" s="13" t="s">
        <v>1</v>
      </c>
      <c r="J3" s="13" t="s">
        <v>1</v>
      </c>
      <c r="K3" s="13" t="s">
        <v>1</v>
      </c>
    </row>
    <row r="4" spans="1:11" x14ac:dyDescent="0.65">
      <c r="A4" s="14" t="s">
        <v>2</v>
      </c>
      <c r="B4" s="15" t="s">
        <v>14</v>
      </c>
      <c r="C4" s="15">
        <v>12749</v>
      </c>
      <c r="D4" s="15">
        <v>26384</v>
      </c>
      <c r="E4" s="15">
        <v>28229</v>
      </c>
      <c r="F4" s="15">
        <v>27100</v>
      </c>
      <c r="G4" s="15">
        <v>28948</v>
      </c>
      <c r="H4" s="15">
        <v>28616</v>
      </c>
      <c r="I4" s="15">
        <v>16787</v>
      </c>
      <c r="J4" s="24">
        <v>4699.17</v>
      </c>
      <c r="K4" s="15">
        <v>3757.35</v>
      </c>
    </row>
    <row r="5" spans="1:11" x14ac:dyDescent="0.65">
      <c r="A5" s="14" t="s">
        <v>21</v>
      </c>
      <c r="B5" s="15" t="s">
        <v>14</v>
      </c>
      <c r="C5" s="15">
        <v>19745</v>
      </c>
      <c r="D5" s="15">
        <v>26642</v>
      </c>
      <c r="E5" s="15">
        <v>28205</v>
      </c>
      <c r="F5" s="15">
        <v>29300</v>
      </c>
      <c r="G5" s="15">
        <v>22892</v>
      </c>
      <c r="H5" s="15">
        <v>28285</v>
      </c>
      <c r="I5" s="15">
        <v>27826</v>
      </c>
      <c r="J5" s="24">
        <v>2272.46</v>
      </c>
      <c r="K5" s="15">
        <v>1821.32</v>
      </c>
    </row>
    <row r="6" spans="1:11" x14ac:dyDescent="0.65">
      <c r="A6" s="14" t="s">
        <v>3</v>
      </c>
      <c r="B6" s="15" t="s">
        <v>14</v>
      </c>
      <c r="C6" s="15">
        <v>25547</v>
      </c>
      <c r="D6" s="15">
        <v>30700</v>
      </c>
      <c r="E6" s="15">
        <v>31255</v>
      </c>
      <c r="F6" s="15">
        <v>27812</v>
      </c>
      <c r="G6" s="15">
        <v>29856</v>
      </c>
      <c r="H6" s="15">
        <v>31184</v>
      </c>
      <c r="I6" s="15">
        <v>29018</v>
      </c>
      <c r="J6" s="24">
        <v>4131.3900000000003</v>
      </c>
      <c r="K6" s="15"/>
    </row>
    <row r="7" spans="1:11" x14ac:dyDescent="0.65">
      <c r="A7" s="14" t="s">
        <v>4</v>
      </c>
      <c r="B7" s="15" t="s">
        <v>14</v>
      </c>
      <c r="C7" s="15">
        <v>36729</v>
      </c>
      <c r="D7" s="15">
        <v>31009</v>
      </c>
      <c r="E7" s="15">
        <v>30450</v>
      </c>
      <c r="F7" s="15">
        <v>27247</v>
      </c>
      <c r="G7" s="15">
        <v>45779</v>
      </c>
      <c r="H7" s="15">
        <v>32201</v>
      </c>
      <c r="I7" s="15">
        <v>82867</v>
      </c>
      <c r="J7" s="24">
        <v>3752.9300000000003</v>
      </c>
      <c r="K7" s="15"/>
    </row>
    <row r="8" spans="1:11" x14ac:dyDescent="0.65">
      <c r="A8" s="14" t="s">
        <v>5</v>
      </c>
      <c r="B8" s="15" t="s">
        <v>14</v>
      </c>
      <c r="C8" s="15">
        <v>36379</v>
      </c>
      <c r="D8" s="15">
        <v>33161</v>
      </c>
      <c r="E8" s="15">
        <v>37424</v>
      </c>
      <c r="F8" s="15">
        <v>32824</v>
      </c>
      <c r="G8" s="15">
        <v>28953</v>
      </c>
      <c r="H8" s="15">
        <v>35222</v>
      </c>
      <c r="I8" s="15">
        <v>8424</v>
      </c>
      <c r="J8" s="24">
        <v>3090.35</v>
      </c>
      <c r="K8" s="15"/>
    </row>
    <row r="9" spans="1:11" x14ac:dyDescent="0.65">
      <c r="A9" s="14" t="s">
        <v>6</v>
      </c>
      <c r="B9" s="15" t="s">
        <v>14</v>
      </c>
      <c r="C9" s="15">
        <v>29565</v>
      </c>
      <c r="D9" s="15">
        <v>26740</v>
      </c>
      <c r="E9" s="15">
        <v>29690</v>
      </c>
      <c r="F9" s="15">
        <v>29334</v>
      </c>
      <c r="G9" s="15">
        <v>35882</v>
      </c>
      <c r="H9" s="15">
        <v>34042</v>
      </c>
      <c r="I9" s="15">
        <v>16787</v>
      </c>
      <c r="J9" s="24">
        <v>5211.7000000000007</v>
      </c>
      <c r="K9" s="15"/>
    </row>
    <row r="10" spans="1:11" x14ac:dyDescent="0.65">
      <c r="A10" s="14" t="s">
        <v>7</v>
      </c>
      <c r="B10" s="15" t="s">
        <v>14</v>
      </c>
      <c r="C10" s="15">
        <v>26375</v>
      </c>
      <c r="D10" s="15">
        <v>26740</v>
      </c>
      <c r="E10" s="15">
        <v>31045</v>
      </c>
      <c r="F10" s="15">
        <v>20835</v>
      </c>
      <c r="G10" s="15">
        <v>24988</v>
      </c>
      <c r="H10" s="15">
        <v>39511</v>
      </c>
      <c r="I10" s="24">
        <v>9107.1299999999992</v>
      </c>
      <c r="J10" s="24">
        <v>6736.52</v>
      </c>
      <c r="K10" s="15"/>
    </row>
    <row r="11" spans="1:11" x14ac:dyDescent="0.65">
      <c r="A11" s="14" t="s">
        <v>8</v>
      </c>
      <c r="B11" s="15">
        <v>674.89</v>
      </c>
      <c r="C11" s="15">
        <v>26248</v>
      </c>
      <c r="D11" s="15">
        <v>23797</v>
      </c>
      <c r="E11" s="15">
        <v>23207</v>
      </c>
      <c r="F11" s="15">
        <v>25238</v>
      </c>
      <c r="G11" s="15">
        <v>33456</v>
      </c>
      <c r="H11" s="15">
        <v>26899</v>
      </c>
      <c r="I11" s="24">
        <v>10634.56</v>
      </c>
      <c r="J11" s="24">
        <v>3271.75</v>
      </c>
      <c r="K11" s="15"/>
    </row>
    <row r="12" spans="1:11" x14ac:dyDescent="0.65">
      <c r="A12" s="14" t="s">
        <v>9</v>
      </c>
      <c r="B12" s="15">
        <v>3527.45</v>
      </c>
      <c r="C12" s="15">
        <v>29666</v>
      </c>
      <c r="D12" s="15">
        <v>30210</v>
      </c>
      <c r="E12" s="15">
        <v>18012</v>
      </c>
      <c r="F12" s="15">
        <v>29076</v>
      </c>
      <c r="G12" s="15">
        <v>26386</v>
      </c>
      <c r="H12" s="15">
        <v>28017</v>
      </c>
      <c r="I12" s="24">
        <v>10285.629999999999</v>
      </c>
      <c r="J12" s="15">
        <v>7300.36</v>
      </c>
      <c r="K12" s="15"/>
    </row>
    <row r="13" spans="1:11" ht="26.4" x14ac:dyDescent="0.7">
      <c r="A13" s="14" t="s">
        <v>10</v>
      </c>
      <c r="B13" s="15">
        <v>3284.58</v>
      </c>
      <c r="C13" s="15">
        <v>28086</v>
      </c>
      <c r="D13" s="15">
        <v>31278</v>
      </c>
      <c r="E13" s="15">
        <v>25940</v>
      </c>
      <c r="F13" s="15">
        <v>28371</v>
      </c>
      <c r="G13" s="15">
        <v>31113</v>
      </c>
      <c r="H13" s="21" t="s">
        <v>14</v>
      </c>
      <c r="I13" s="24">
        <v>8798.56</v>
      </c>
      <c r="J13" s="15">
        <v>4069.13</v>
      </c>
      <c r="K13" s="20"/>
    </row>
    <row r="14" spans="1:11" ht="26.4" x14ac:dyDescent="0.7">
      <c r="A14" s="14" t="s">
        <v>11</v>
      </c>
      <c r="B14" s="15">
        <v>2837.73</v>
      </c>
      <c r="C14" s="15">
        <v>25973</v>
      </c>
      <c r="D14" s="15">
        <v>28020</v>
      </c>
      <c r="E14" s="15">
        <v>13710</v>
      </c>
      <c r="F14" s="15">
        <v>28898</v>
      </c>
      <c r="G14" s="15">
        <v>37068</v>
      </c>
      <c r="H14" s="21" t="s">
        <v>14</v>
      </c>
      <c r="I14" s="24">
        <v>7168.79</v>
      </c>
      <c r="J14" s="15">
        <v>1235.8</v>
      </c>
      <c r="K14" s="20"/>
    </row>
    <row r="15" spans="1:11" x14ac:dyDescent="0.65">
      <c r="A15" s="14" t="s">
        <v>12</v>
      </c>
      <c r="B15" s="15">
        <v>2674.04</v>
      </c>
      <c r="C15" s="15">
        <v>22123</v>
      </c>
      <c r="D15" s="15">
        <v>26728</v>
      </c>
      <c r="E15" s="15">
        <v>30100</v>
      </c>
      <c r="F15" s="15">
        <v>28517</v>
      </c>
      <c r="G15" s="15">
        <v>47603</v>
      </c>
      <c r="H15" s="22">
        <v>28027</v>
      </c>
      <c r="I15" s="24">
        <v>7386.37</v>
      </c>
      <c r="J15" s="15">
        <v>2607.39</v>
      </c>
      <c r="K15" s="15"/>
    </row>
    <row r="16" spans="1:11" ht="26.4" x14ac:dyDescent="0.7">
      <c r="A16" s="16" t="s">
        <v>13</v>
      </c>
      <c r="B16" s="17">
        <f>SUM(B4:B15)</f>
        <v>12998.689999999999</v>
      </c>
      <c r="C16" s="17">
        <f t="shared" ref="C16:H16" si="0">SUM(C4:C15)</f>
        <v>319185</v>
      </c>
      <c r="D16" s="17">
        <f t="shared" si="0"/>
        <v>341409</v>
      </c>
      <c r="E16" s="17">
        <f t="shared" si="0"/>
        <v>327267</v>
      </c>
      <c r="F16" s="17">
        <f t="shared" si="0"/>
        <v>334552</v>
      </c>
      <c r="G16" s="17">
        <f t="shared" si="0"/>
        <v>392924</v>
      </c>
      <c r="H16" s="17">
        <f t="shared" si="0"/>
        <v>312004</v>
      </c>
      <c r="I16" s="17">
        <f t="shared" ref="I16:J16" si="1">SUM(I4:I15)</f>
        <v>235090.04</v>
      </c>
      <c r="J16" s="17">
        <f t="shared" si="1"/>
        <v>48378.950000000004</v>
      </c>
      <c r="K16" s="17">
        <f t="shared" ref="K16" si="2">SUM(K4:K15)</f>
        <v>5578.67</v>
      </c>
    </row>
    <row r="17" hidden="1" x14ac:dyDescent="0.65"/>
    <row r="18" hidden="1" x14ac:dyDescent="0.65"/>
    <row r="19" hidden="1" x14ac:dyDescent="0.65"/>
    <row r="20" hidden="1" x14ac:dyDescent="0.65"/>
    <row r="21" hidden="1" x14ac:dyDescent="0.65"/>
    <row r="22" hidden="1" x14ac:dyDescent="0.65"/>
    <row r="23" hidden="1" x14ac:dyDescent="0.65"/>
    <row r="24" hidden="1" x14ac:dyDescent="0.65"/>
    <row r="25" hidden="1" x14ac:dyDescent="0.65"/>
    <row r="26" hidden="1" x14ac:dyDescent="0.65"/>
    <row r="27" hidden="1" x14ac:dyDescent="0.65"/>
    <row r="28" hidden="1" x14ac:dyDescent="0.65"/>
    <row r="29" hidden="1" x14ac:dyDescent="0.65"/>
    <row r="30" hidden="1" x14ac:dyDescent="0.65"/>
    <row r="31" hidden="1" x14ac:dyDescent="0.65"/>
    <row r="32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  <row r="96" hidden="1" x14ac:dyDescent="0.65"/>
  </sheetData>
  <pageMargins left="0.7" right="0.7" top="0.75" bottom="0.75" header="0.3" footer="0.3"/>
  <pageSetup paperSize="9" scale="8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showGridLines="0" view="pageBreakPreview" zoomScaleNormal="100" zoomScaleSheetLayoutView="100" workbookViewId="0">
      <pane ySplit="1836" topLeftCell="A4" activePane="bottomLeft"/>
      <selection activeCell="K1" sqref="K1:K1048576"/>
      <selection pane="bottomLeft" activeCell="M10" sqref="M10"/>
    </sheetView>
  </sheetViews>
  <sheetFormatPr defaultRowHeight="25.8" x14ac:dyDescent="0.65"/>
  <cols>
    <col min="1" max="1" width="11.69921875" style="11" customWidth="1"/>
    <col min="2" max="5" width="12.19921875" style="11" hidden="1" customWidth="1"/>
    <col min="6" max="11" width="12.19921875" style="11" customWidth="1"/>
    <col min="12" max="16384" width="8.796875" style="2"/>
  </cols>
  <sheetData>
    <row r="1" spans="1:11" ht="26.4" x14ac:dyDescent="0.7">
      <c r="A1" s="10" t="s">
        <v>15</v>
      </c>
    </row>
    <row r="2" spans="1:11" x14ac:dyDescent="0.65">
      <c r="A2" s="12" t="s">
        <v>0</v>
      </c>
      <c r="B2" s="12" t="s">
        <v>33</v>
      </c>
      <c r="C2" s="12" t="s">
        <v>32</v>
      </c>
      <c r="D2" s="12" t="s">
        <v>31</v>
      </c>
      <c r="E2" s="3" t="s">
        <v>30</v>
      </c>
      <c r="F2" s="3" t="s">
        <v>29</v>
      </c>
      <c r="G2" s="3" t="s">
        <v>28</v>
      </c>
      <c r="H2" s="3" t="s">
        <v>27</v>
      </c>
      <c r="I2" s="3" t="s">
        <v>26</v>
      </c>
      <c r="J2" s="3" t="s">
        <v>25</v>
      </c>
      <c r="K2" s="3" t="s">
        <v>36</v>
      </c>
    </row>
    <row r="3" spans="1:11" x14ac:dyDescent="0.65">
      <c r="A3" s="13"/>
      <c r="B3" s="13" t="s">
        <v>1</v>
      </c>
      <c r="C3" s="13" t="s">
        <v>1</v>
      </c>
      <c r="D3" s="13" t="s">
        <v>1</v>
      </c>
      <c r="E3" s="13" t="s">
        <v>1</v>
      </c>
      <c r="F3" s="13" t="s">
        <v>1</v>
      </c>
      <c r="G3" s="13" t="s">
        <v>1</v>
      </c>
      <c r="H3" s="13" t="s">
        <v>1</v>
      </c>
      <c r="I3" s="13" t="s">
        <v>1</v>
      </c>
      <c r="J3" s="13" t="s">
        <v>1</v>
      </c>
      <c r="K3" s="13" t="s">
        <v>1</v>
      </c>
    </row>
    <row r="4" spans="1:11" x14ac:dyDescent="0.65">
      <c r="A4" s="14" t="s">
        <v>2</v>
      </c>
      <c r="B4" s="15" t="s">
        <v>14</v>
      </c>
      <c r="C4" s="15">
        <v>4748.53</v>
      </c>
      <c r="D4" s="15">
        <v>4811.83</v>
      </c>
      <c r="E4" s="15">
        <v>4840.6499999999996</v>
      </c>
      <c r="F4" s="15" t="s">
        <v>14</v>
      </c>
      <c r="G4" s="15" t="s">
        <v>14</v>
      </c>
      <c r="H4" s="15" t="s">
        <v>14</v>
      </c>
      <c r="I4" s="15" t="s">
        <v>14</v>
      </c>
      <c r="J4" s="15" t="s">
        <v>14</v>
      </c>
      <c r="K4" s="15" t="s">
        <v>14</v>
      </c>
    </row>
    <row r="5" spans="1:11" x14ac:dyDescent="0.65">
      <c r="A5" s="14" t="s">
        <v>21</v>
      </c>
      <c r="B5" s="15" t="s">
        <v>14</v>
      </c>
      <c r="C5" s="15">
        <v>4879.21</v>
      </c>
      <c r="D5" s="15">
        <v>4784.1899999999996</v>
      </c>
      <c r="E5" s="15">
        <v>4470.7299999999996</v>
      </c>
      <c r="F5" s="15" t="s">
        <v>14</v>
      </c>
      <c r="G5" s="15" t="s">
        <v>14</v>
      </c>
      <c r="H5" s="15" t="s">
        <v>14</v>
      </c>
      <c r="I5" s="15" t="s">
        <v>14</v>
      </c>
      <c r="J5" s="15" t="s">
        <v>14</v>
      </c>
      <c r="K5" s="15" t="s">
        <v>14</v>
      </c>
    </row>
    <row r="6" spans="1:11" x14ac:dyDescent="0.65">
      <c r="A6" s="14" t="s">
        <v>3</v>
      </c>
      <c r="B6" s="15" t="s">
        <v>14</v>
      </c>
      <c r="C6" s="15">
        <v>5206.72</v>
      </c>
      <c r="D6" s="15">
        <v>5060.96</v>
      </c>
      <c r="E6" s="15">
        <v>5058.79</v>
      </c>
      <c r="F6" s="15" t="s">
        <v>14</v>
      </c>
      <c r="G6" s="15" t="s">
        <v>14</v>
      </c>
      <c r="H6" s="15" t="s">
        <v>14</v>
      </c>
      <c r="I6" s="15" t="s">
        <v>14</v>
      </c>
      <c r="J6" s="15" t="s">
        <v>14</v>
      </c>
      <c r="K6" s="15" t="s">
        <v>14</v>
      </c>
    </row>
    <row r="7" spans="1:11" x14ac:dyDescent="0.65">
      <c r="A7" s="14" t="s">
        <v>4</v>
      </c>
      <c r="B7" s="15" t="s">
        <v>14</v>
      </c>
      <c r="C7" s="15">
        <v>5224.67</v>
      </c>
      <c r="D7" s="15">
        <v>5184.04</v>
      </c>
      <c r="E7" s="15">
        <v>4931.9799999999996</v>
      </c>
      <c r="F7" s="15" t="s">
        <v>14</v>
      </c>
      <c r="G7" s="15" t="s">
        <v>14</v>
      </c>
      <c r="H7" s="15" t="s">
        <v>14</v>
      </c>
      <c r="I7" s="15" t="s">
        <v>14</v>
      </c>
      <c r="J7" s="15" t="s">
        <v>14</v>
      </c>
      <c r="K7" s="15" t="s">
        <v>14</v>
      </c>
    </row>
    <row r="8" spans="1:11" x14ac:dyDescent="0.65">
      <c r="A8" s="14" t="s">
        <v>5</v>
      </c>
      <c r="B8" s="15" t="s">
        <v>14</v>
      </c>
      <c r="C8" s="15">
        <v>5713.46</v>
      </c>
      <c r="D8" s="15">
        <v>5439.28</v>
      </c>
      <c r="E8" s="15">
        <v>5564.37</v>
      </c>
      <c r="F8" s="15" t="s">
        <v>14</v>
      </c>
      <c r="G8" s="15" t="s">
        <v>14</v>
      </c>
      <c r="H8" s="15" t="s">
        <v>14</v>
      </c>
      <c r="I8" s="15" t="s">
        <v>14</v>
      </c>
      <c r="J8" s="15" t="s">
        <v>14</v>
      </c>
      <c r="K8" s="15" t="s">
        <v>14</v>
      </c>
    </row>
    <row r="9" spans="1:11" x14ac:dyDescent="0.65">
      <c r="A9" s="14" t="s">
        <v>6</v>
      </c>
      <c r="B9" s="15" t="s">
        <v>14</v>
      </c>
      <c r="C9" s="15">
        <v>4713.62</v>
      </c>
      <c r="D9" s="15">
        <v>5049.03</v>
      </c>
      <c r="E9" s="15">
        <v>4819.95</v>
      </c>
      <c r="F9" s="15" t="s">
        <v>14</v>
      </c>
      <c r="G9" s="15" t="s">
        <v>14</v>
      </c>
      <c r="H9" s="15" t="s">
        <v>14</v>
      </c>
      <c r="I9" s="15" t="s">
        <v>14</v>
      </c>
      <c r="J9" s="15" t="s">
        <v>14</v>
      </c>
      <c r="K9" s="15" t="s">
        <v>14</v>
      </c>
    </row>
    <row r="10" spans="1:11" x14ac:dyDescent="0.65">
      <c r="A10" s="14" t="s">
        <v>7</v>
      </c>
      <c r="B10" s="15" t="s">
        <v>14</v>
      </c>
      <c r="C10" s="15">
        <v>4247.97</v>
      </c>
      <c r="D10" s="15">
        <v>4376.3599999999997</v>
      </c>
      <c r="E10" s="15" t="s">
        <v>14</v>
      </c>
      <c r="F10" s="15" t="s">
        <v>14</v>
      </c>
      <c r="G10" s="15" t="s">
        <v>14</v>
      </c>
      <c r="H10" s="15" t="s">
        <v>14</v>
      </c>
      <c r="I10" s="15" t="s">
        <v>14</v>
      </c>
      <c r="J10" s="15" t="s">
        <v>14</v>
      </c>
      <c r="K10" s="15" t="s">
        <v>14</v>
      </c>
    </row>
    <row r="11" spans="1:11" x14ac:dyDescent="0.65">
      <c r="A11" s="14" t="s">
        <v>8</v>
      </c>
      <c r="B11" s="15">
        <v>1164.1099999999999</v>
      </c>
      <c r="C11" s="15">
        <v>4256.8500000000004</v>
      </c>
      <c r="D11" s="15">
        <v>4023.99</v>
      </c>
      <c r="E11" s="15" t="s">
        <v>14</v>
      </c>
      <c r="F11" s="15" t="s">
        <v>14</v>
      </c>
      <c r="G11" s="15" t="s">
        <v>14</v>
      </c>
      <c r="H11" s="15" t="s">
        <v>14</v>
      </c>
      <c r="I11" s="15" t="s">
        <v>14</v>
      </c>
      <c r="J11" s="15" t="s">
        <v>14</v>
      </c>
      <c r="K11" s="15" t="s">
        <v>14</v>
      </c>
    </row>
    <row r="12" spans="1:11" x14ac:dyDescent="0.65">
      <c r="A12" s="14" t="s">
        <v>9</v>
      </c>
      <c r="B12" s="15">
        <v>4804.58</v>
      </c>
      <c r="C12" s="15">
        <v>4852.46</v>
      </c>
      <c r="D12" s="15">
        <v>4975.6400000000003</v>
      </c>
      <c r="E12" s="15" t="s">
        <v>14</v>
      </c>
      <c r="F12" s="15" t="s">
        <v>14</v>
      </c>
      <c r="G12" s="15" t="s">
        <v>14</v>
      </c>
      <c r="H12" s="15" t="s">
        <v>14</v>
      </c>
      <c r="I12" s="15" t="s">
        <v>14</v>
      </c>
      <c r="J12" s="15" t="s">
        <v>14</v>
      </c>
      <c r="K12" s="15" t="s">
        <v>14</v>
      </c>
    </row>
    <row r="13" spans="1:11" x14ac:dyDescent="0.65">
      <c r="A13" s="14" t="s">
        <v>10</v>
      </c>
      <c r="B13" s="15">
        <v>4918.8100000000004</v>
      </c>
      <c r="C13" s="15">
        <v>4940.0600000000004</v>
      </c>
      <c r="D13" s="15">
        <v>5031.88</v>
      </c>
      <c r="E13" s="15" t="s">
        <v>14</v>
      </c>
      <c r="F13" s="15" t="s">
        <v>14</v>
      </c>
      <c r="G13" s="15" t="s">
        <v>14</v>
      </c>
      <c r="H13" s="15" t="s">
        <v>14</v>
      </c>
      <c r="I13" s="15" t="s">
        <v>14</v>
      </c>
      <c r="J13" s="15" t="s">
        <v>14</v>
      </c>
      <c r="K13" s="15" t="s">
        <v>14</v>
      </c>
    </row>
    <row r="14" spans="1:11" x14ac:dyDescent="0.65">
      <c r="A14" s="14" t="s">
        <v>11</v>
      </c>
      <c r="B14" s="15">
        <v>4641.47</v>
      </c>
      <c r="C14" s="15">
        <v>4934.05</v>
      </c>
      <c r="D14" s="15">
        <v>4889.05</v>
      </c>
      <c r="E14" s="15" t="s">
        <v>14</v>
      </c>
      <c r="F14" s="15" t="s">
        <v>14</v>
      </c>
      <c r="G14" s="15" t="s">
        <v>14</v>
      </c>
      <c r="H14" s="15" t="s">
        <v>14</v>
      </c>
      <c r="I14" s="15" t="s">
        <v>14</v>
      </c>
      <c r="J14" s="15" t="s">
        <v>14</v>
      </c>
      <c r="K14" s="15" t="s">
        <v>14</v>
      </c>
    </row>
    <row r="15" spans="1:11" x14ac:dyDescent="0.65">
      <c r="A15" s="14" t="s">
        <v>12</v>
      </c>
      <c r="B15" s="15">
        <v>4642.37</v>
      </c>
      <c r="C15" s="15">
        <v>4001.98</v>
      </c>
      <c r="D15" s="15">
        <v>4599.7700000000004</v>
      </c>
      <c r="E15" s="15" t="s">
        <v>14</v>
      </c>
      <c r="F15" s="15" t="s">
        <v>14</v>
      </c>
      <c r="G15" s="15" t="s">
        <v>14</v>
      </c>
      <c r="H15" s="15" t="s">
        <v>14</v>
      </c>
      <c r="I15" s="15" t="s">
        <v>14</v>
      </c>
      <c r="J15" s="15" t="s">
        <v>14</v>
      </c>
      <c r="K15" s="15" t="s">
        <v>14</v>
      </c>
    </row>
    <row r="16" spans="1:11" ht="26.4" x14ac:dyDescent="0.7">
      <c r="A16" s="16" t="s">
        <v>13</v>
      </c>
      <c r="B16" s="17">
        <f>SUM(B4:B15)</f>
        <v>20171.34</v>
      </c>
      <c r="C16" s="17">
        <f t="shared" ref="C16:H16" si="0">SUM(C4:C15)</f>
        <v>57719.579999999994</v>
      </c>
      <c r="D16" s="17">
        <f t="shared" si="0"/>
        <v>58226.01999999999</v>
      </c>
      <c r="E16" s="17">
        <f t="shared" si="0"/>
        <v>29686.469999999998</v>
      </c>
      <c r="F16" s="17">
        <f t="shared" si="0"/>
        <v>0</v>
      </c>
      <c r="G16" s="17">
        <f t="shared" si="0"/>
        <v>0</v>
      </c>
      <c r="H16" s="17">
        <f t="shared" si="0"/>
        <v>0</v>
      </c>
      <c r="I16" s="17">
        <f t="shared" ref="I16" si="1">SUM(I4:I15)</f>
        <v>0</v>
      </c>
      <c r="J16" s="17">
        <f t="shared" ref="J16:K16" si="2">SUM(J4:J15)</f>
        <v>0</v>
      </c>
      <c r="K16" s="17">
        <f t="shared" si="2"/>
        <v>0</v>
      </c>
    </row>
    <row r="18" hidden="1" x14ac:dyDescent="0.65"/>
    <row r="19" hidden="1" x14ac:dyDescent="0.65"/>
    <row r="20" hidden="1" x14ac:dyDescent="0.65"/>
    <row r="21" hidden="1" x14ac:dyDescent="0.65"/>
    <row r="22" hidden="1" x14ac:dyDescent="0.65"/>
    <row r="23" hidden="1" x14ac:dyDescent="0.65"/>
    <row r="24" hidden="1" x14ac:dyDescent="0.65"/>
    <row r="25" hidden="1" x14ac:dyDescent="0.65"/>
    <row r="26" hidden="1" x14ac:dyDescent="0.65"/>
    <row r="27" hidden="1" x14ac:dyDescent="0.65"/>
    <row r="28" hidden="1" x14ac:dyDescent="0.65"/>
    <row r="29" hidden="1" x14ac:dyDescent="0.65"/>
    <row r="30" hidden="1" x14ac:dyDescent="0.65"/>
    <row r="31" hidden="1" x14ac:dyDescent="0.65"/>
    <row r="32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</sheetData>
  <pageMargins left="0.7" right="0.7" top="0.75" bottom="0.75" header="0.3" footer="0.3"/>
  <pageSetup paperSize="9" scale="9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7"/>
  <sheetViews>
    <sheetView showGridLines="0" view="pageBreakPreview" zoomScaleNormal="100" zoomScaleSheetLayoutView="100" workbookViewId="0">
      <pane ySplit="1836" topLeftCell="A4" activePane="bottomLeft"/>
      <selection pane="bottomLeft" activeCell="I7" sqref="I7"/>
    </sheetView>
  </sheetViews>
  <sheetFormatPr defaultRowHeight="25.8" x14ac:dyDescent="0.65"/>
  <cols>
    <col min="1" max="1" width="12" style="2" customWidth="1"/>
    <col min="2" max="5" width="12.69921875" style="2" customWidth="1"/>
    <col min="6" max="16384" width="8.796875" style="2"/>
  </cols>
  <sheetData>
    <row r="1" spans="1:5" ht="26.4" x14ac:dyDescent="0.7">
      <c r="A1" s="1" t="s">
        <v>22</v>
      </c>
    </row>
    <row r="2" spans="1:5" x14ac:dyDescent="0.65">
      <c r="A2" s="3" t="s">
        <v>0</v>
      </c>
      <c r="B2" s="3" t="s">
        <v>26</v>
      </c>
      <c r="C2" s="3" t="s">
        <v>25</v>
      </c>
      <c r="D2" s="3" t="s">
        <v>36</v>
      </c>
      <c r="E2" s="3" t="s">
        <v>37</v>
      </c>
    </row>
    <row r="3" spans="1:5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</row>
    <row r="4" spans="1:5" x14ac:dyDescent="0.65">
      <c r="A4" s="5" t="s">
        <v>2</v>
      </c>
      <c r="B4" s="6">
        <f>414168.64-407023.68</f>
        <v>7144.960000000021</v>
      </c>
      <c r="C4" s="6">
        <f>482922.64-476083.92</f>
        <v>6838.7200000000303</v>
      </c>
      <c r="D4" s="6">
        <f>567594.4-557100.32</f>
        <v>10494.080000000075</v>
      </c>
      <c r="E4" s="6"/>
    </row>
    <row r="5" spans="1:5" x14ac:dyDescent="0.65">
      <c r="A5" s="5" t="s">
        <v>21</v>
      </c>
      <c r="B5" s="6">
        <f>418956.28-414168.64</f>
        <v>4787.640000000014</v>
      </c>
      <c r="C5" s="6">
        <f>488166.6-482922.64</f>
        <v>5243.9599999999627</v>
      </c>
      <c r="D5" s="6">
        <f>576346-567594.4</f>
        <v>8751.5999999999767</v>
      </c>
      <c r="E5" s="6"/>
    </row>
    <row r="6" spans="1:5" x14ac:dyDescent="0.65">
      <c r="A6" s="5" t="s">
        <v>3</v>
      </c>
      <c r="B6" s="6">
        <f>421518.08-418956.28</f>
        <v>2561.7999999999884</v>
      </c>
      <c r="C6" s="6">
        <f>499557.28-488166.6</f>
        <v>11390.680000000051</v>
      </c>
      <c r="D6" s="6">
        <f>580869-576346</f>
        <v>4523</v>
      </c>
      <c r="E6" s="6"/>
    </row>
    <row r="7" spans="1:5" x14ac:dyDescent="0.65">
      <c r="A7" s="5" t="s">
        <v>4</v>
      </c>
      <c r="B7" s="6">
        <f>424774.08-421518.08</f>
        <v>3256</v>
      </c>
      <c r="C7" s="6">
        <f>506306.12-499557.28</f>
        <v>6748.8399999999674</v>
      </c>
      <c r="D7" s="6">
        <f>585920-580869</f>
        <v>5051</v>
      </c>
      <c r="E7" s="6"/>
    </row>
    <row r="8" spans="1:5" x14ac:dyDescent="0.65">
      <c r="A8" s="5" t="s">
        <v>5</v>
      </c>
      <c r="B8" s="6">
        <f>432079.08-424774.08</f>
        <v>7305</v>
      </c>
      <c r="C8" s="6">
        <f>513270.72-506306.12</f>
        <v>6964.5999999999767</v>
      </c>
      <c r="D8" s="6">
        <f>592630-585920</f>
        <v>6710</v>
      </c>
      <c r="E8" s="6"/>
    </row>
    <row r="9" spans="1:5" x14ac:dyDescent="0.65">
      <c r="A9" s="5" t="s">
        <v>6</v>
      </c>
      <c r="B9" s="6">
        <f>438239.84-432079.08</f>
        <v>6160.7600000000093</v>
      </c>
      <c r="C9" s="6">
        <f>519084.76-513270.72</f>
        <v>5814.0400000000373</v>
      </c>
      <c r="D9" s="6"/>
      <c r="E9" s="6"/>
    </row>
    <row r="10" spans="1:5" x14ac:dyDescent="0.65">
      <c r="A10" s="5" t="s">
        <v>7</v>
      </c>
      <c r="B10" s="6">
        <f>443735.08-438239.84</f>
        <v>5495.2399999999907</v>
      </c>
      <c r="C10" s="6">
        <f>525106.44-519084.76</f>
        <v>6021.6799999999348</v>
      </c>
      <c r="D10" s="6"/>
      <c r="E10" s="6"/>
    </row>
    <row r="11" spans="1:5" x14ac:dyDescent="0.65">
      <c r="A11" s="5" t="s">
        <v>8</v>
      </c>
      <c r="B11" s="6">
        <f>449690.64-443735.08</f>
        <v>5955.5599999999977</v>
      </c>
      <c r="C11" s="6">
        <f>530690.32-525106.44</f>
        <v>5583.8800000000047</v>
      </c>
      <c r="D11" s="6"/>
      <c r="E11" s="6"/>
    </row>
    <row r="12" spans="1:5" x14ac:dyDescent="0.65">
      <c r="A12" s="5" t="s">
        <v>9</v>
      </c>
      <c r="B12" s="6">
        <f>456439.52-449690.64</f>
        <v>6748.8800000000047</v>
      </c>
      <c r="C12" s="6">
        <f>536576.6-530690.32</f>
        <v>5886.2800000000279</v>
      </c>
      <c r="D12" s="6"/>
      <c r="E12" s="6"/>
    </row>
    <row r="13" spans="1:5" x14ac:dyDescent="0.65">
      <c r="A13" s="5" t="s">
        <v>10</v>
      </c>
      <c r="B13" s="6">
        <f>463468.16-456439.52</f>
        <v>7028.6399999999558</v>
      </c>
      <c r="C13" s="6">
        <f>544762.4-536576.6</f>
        <v>8185.8000000000466</v>
      </c>
      <c r="D13" s="6"/>
      <c r="E13" s="6"/>
    </row>
    <row r="14" spans="1:5" x14ac:dyDescent="0.65">
      <c r="A14" s="5" t="s">
        <v>11</v>
      </c>
      <c r="B14" s="6">
        <f>468928.08-463468.16</f>
        <v>5459.9200000000419</v>
      </c>
      <c r="C14" s="6">
        <f>549313.8-544762.4</f>
        <v>4551.4000000000233</v>
      </c>
      <c r="D14" s="6"/>
      <c r="E14" s="6"/>
    </row>
    <row r="15" spans="1:5" x14ac:dyDescent="0.65">
      <c r="A15" s="5" t="s">
        <v>12</v>
      </c>
      <c r="B15" s="6">
        <f>476083.92-468928.08</f>
        <v>7155.8399999999674</v>
      </c>
      <c r="C15" s="6">
        <f>557100.32-549313.8</f>
        <v>7786.5199999999022</v>
      </c>
      <c r="D15" s="6"/>
      <c r="E15" s="6"/>
    </row>
    <row r="16" spans="1:5" ht="26.4" x14ac:dyDescent="0.7">
      <c r="A16" s="7" t="s">
        <v>13</v>
      </c>
      <c r="B16" s="8">
        <f t="shared" ref="B16:E16" si="0">SUM(B4:B15)</f>
        <v>69060.239999999991</v>
      </c>
      <c r="C16" s="8">
        <f t="shared" si="0"/>
        <v>81016.399999999965</v>
      </c>
      <c r="D16" s="8">
        <f t="shared" si="0"/>
        <v>35529.680000000051</v>
      </c>
      <c r="E16" s="8">
        <f t="shared" si="0"/>
        <v>0</v>
      </c>
    </row>
    <row r="17" spans="2:5" x14ac:dyDescent="0.65">
      <c r="B17" s="9"/>
      <c r="C17" s="9"/>
      <c r="D17" s="9"/>
      <c r="E17" s="9"/>
    </row>
    <row r="28" spans="2:5" hidden="1" x14ac:dyDescent="0.65"/>
    <row r="29" spans="2:5" hidden="1" x14ac:dyDescent="0.65"/>
    <row r="30" spans="2:5" hidden="1" x14ac:dyDescent="0.65"/>
    <row r="31" spans="2:5" hidden="1" x14ac:dyDescent="0.65"/>
    <row r="32" spans="2:5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  <row r="96" hidden="1" x14ac:dyDescent="0.65"/>
    <row r="97" hidden="1" x14ac:dyDescent="0.65"/>
    <row r="98" hidden="1" x14ac:dyDescent="0.65"/>
    <row r="99" hidden="1" x14ac:dyDescent="0.65"/>
    <row r="100" hidden="1" x14ac:dyDescent="0.65"/>
    <row r="101" hidden="1" x14ac:dyDescent="0.65"/>
    <row r="102" hidden="1" x14ac:dyDescent="0.65"/>
    <row r="103" hidden="1" x14ac:dyDescent="0.65"/>
    <row r="104" hidden="1" x14ac:dyDescent="0.65"/>
    <row r="105" hidden="1" x14ac:dyDescent="0.65"/>
    <row r="106" hidden="1" x14ac:dyDescent="0.65"/>
    <row r="107" hidden="1" x14ac:dyDescent="0.65"/>
    <row r="108" hidden="1" x14ac:dyDescent="0.65"/>
    <row r="109" hidden="1" x14ac:dyDescent="0.65"/>
    <row r="110" hidden="1" x14ac:dyDescent="0.65"/>
    <row r="111" hidden="1" x14ac:dyDescent="0.65"/>
    <row r="112" hidden="1" x14ac:dyDescent="0.65"/>
    <row r="113" hidden="1" x14ac:dyDescent="0.65"/>
    <row r="114" hidden="1" x14ac:dyDescent="0.65"/>
    <row r="115" hidden="1" x14ac:dyDescent="0.65"/>
    <row r="116" hidden="1" x14ac:dyDescent="0.65"/>
    <row r="117" hidden="1" x14ac:dyDescent="0.65"/>
    <row r="118" hidden="1" x14ac:dyDescent="0.65"/>
    <row r="119" hidden="1" x14ac:dyDescent="0.65"/>
    <row r="120" hidden="1" x14ac:dyDescent="0.65"/>
    <row r="121" hidden="1" x14ac:dyDescent="0.65"/>
    <row r="122" hidden="1" x14ac:dyDescent="0.65"/>
    <row r="123" hidden="1" x14ac:dyDescent="0.65"/>
    <row r="124" hidden="1" x14ac:dyDescent="0.65"/>
    <row r="125" hidden="1" x14ac:dyDescent="0.65"/>
    <row r="126" hidden="1" x14ac:dyDescent="0.65"/>
    <row r="127" hidden="1" x14ac:dyDescent="0.65"/>
    <row r="128" hidden="1" x14ac:dyDescent="0.65"/>
    <row r="129" hidden="1" x14ac:dyDescent="0.65"/>
    <row r="130" hidden="1" x14ac:dyDescent="0.65"/>
    <row r="131" hidden="1" x14ac:dyDescent="0.65"/>
    <row r="132" hidden="1" x14ac:dyDescent="0.65"/>
    <row r="133" hidden="1" x14ac:dyDescent="0.65"/>
    <row r="134" hidden="1" x14ac:dyDescent="0.65"/>
    <row r="135" hidden="1" x14ac:dyDescent="0.65"/>
    <row r="136" hidden="1" x14ac:dyDescent="0.65"/>
    <row r="137" hidden="1" x14ac:dyDescent="0.65"/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showGridLines="0" view="pageBreakPreview" zoomScaleNormal="100" zoomScaleSheetLayoutView="100" workbookViewId="0">
      <pane ySplit="1836" topLeftCell="A4" activePane="bottomLeft"/>
      <selection pane="bottomLeft" activeCell="I7" sqref="I7"/>
    </sheetView>
  </sheetViews>
  <sheetFormatPr defaultRowHeight="25.8" x14ac:dyDescent="0.65"/>
  <cols>
    <col min="1" max="1" width="12" style="2" customWidth="1"/>
    <col min="2" max="6" width="12.69921875" style="2" customWidth="1"/>
    <col min="7" max="16384" width="8.796875" style="2"/>
  </cols>
  <sheetData>
    <row r="1" spans="1:6" ht="26.4" x14ac:dyDescent="0.7">
      <c r="A1" s="1" t="s">
        <v>23</v>
      </c>
    </row>
    <row r="2" spans="1:6" x14ac:dyDescent="0.65">
      <c r="A2" s="3" t="s">
        <v>0</v>
      </c>
      <c r="B2" s="3" t="s">
        <v>26</v>
      </c>
      <c r="C2" s="3" t="s">
        <v>25</v>
      </c>
      <c r="D2" s="3" t="s">
        <v>36</v>
      </c>
      <c r="E2" s="3" t="s">
        <v>37</v>
      </c>
      <c r="F2" s="3" t="s">
        <v>38</v>
      </c>
    </row>
    <row r="3" spans="1:6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</row>
    <row r="4" spans="1:6" x14ac:dyDescent="0.65">
      <c r="A4" s="5" t="s">
        <v>2</v>
      </c>
      <c r="B4" s="6" t="s">
        <v>14</v>
      </c>
      <c r="C4" s="6">
        <v>77.2</v>
      </c>
      <c r="D4" s="6">
        <v>99.13</v>
      </c>
      <c r="E4" s="6"/>
      <c r="F4" s="6"/>
    </row>
    <row r="5" spans="1:6" x14ac:dyDescent="0.65">
      <c r="A5" s="5" t="s">
        <v>21</v>
      </c>
      <c r="B5" s="6" t="s">
        <v>14</v>
      </c>
      <c r="C5" s="6">
        <v>79</v>
      </c>
      <c r="D5" s="6">
        <v>100.68</v>
      </c>
      <c r="E5" s="6"/>
      <c r="F5" s="6"/>
    </row>
    <row r="6" spans="1:6" x14ac:dyDescent="0.65">
      <c r="A6" s="5" t="s">
        <v>3</v>
      </c>
      <c r="B6" s="6">
        <v>58.46</v>
      </c>
      <c r="C6" s="6">
        <v>80.8</v>
      </c>
      <c r="D6" s="6">
        <v>102.5</v>
      </c>
      <c r="E6" s="6"/>
      <c r="F6" s="6"/>
    </row>
    <row r="7" spans="1:6" x14ac:dyDescent="0.65">
      <c r="A7" s="5" t="s">
        <v>4</v>
      </c>
      <c r="B7" s="6">
        <v>60.76</v>
      </c>
      <c r="C7" s="6">
        <v>83.3</v>
      </c>
      <c r="D7" s="6">
        <v>102.5</v>
      </c>
      <c r="E7" s="6"/>
      <c r="F7" s="6"/>
    </row>
    <row r="8" spans="1:6" x14ac:dyDescent="0.65">
      <c r="A8" s="5" t="s">
        <v>5</v>
      </c>
      <c r="B8" s="6">
        <v>62.8</v>
      </c>
      <c r="C8" s="6">
        <v>85.34</v>
      </c>
      <c r="D8" s="6">
        <v>104.01</v>
      </c>
      <c r="E8" s="6"/>
      <c r="F8" s="6"/>
    </row>
    <row r="9" spans="1:6" x14ac:dyDescent="0.65">
      <c r="A9" s="5" t="s">
        <v>6</v>
      </c>
      <c r="B9" s="6">
        <v>64</v>
      </c>
      <c r="C9" s="6">
        <v>87.03</v>
      </c>
      <c r="D9" s="6"/>
      <c r="E9" s="6"/>
      <c r="F9" s="6"/>
    </row>
    <row r="10" spans="1:6" x14ac:dyDescent="0.65">
      <c r="A10" s="5" t="s">
        <v>7</v>
      </c>
      <c r="B10" s="6">
        <v>66.7</v>
      </c>
      <c r="C10" s="6">
        <v>88.59</v>
      </c>
      <c r="D10" s="6"/>
      <c r="E10" s="6"/>
      <c r="F10" s="6"/>
    </row>
    <row r="11" spans="1:6" x14ac:dyDescent="0.65">
      <c r="A11" s="5" t="s">
        <v>8</v>
      </c>
      <c r="B11" s="6">
        <v>68.5</v>
      </c>
      <c r="C11" s="6">
        <v>90.15</v>
      </c>
      <c r="D11" s="6"/>
      <c r="E11" s="6"/>
      <c r="F11" s="6"/>
    </row>
    <row r="12" spans="1:6" x14ac:dyDescent="0.65">
      <c r="A12" s="5" t="s">
        <v>9</v>
      </c>
      <c r="B12" s="6">
        <v>70.290000000000006</v>
      </c>
      <c r="C12" s="6">
        <v>92.48</v>
      </c>
      <c r="D12" s="6"/>
      <c r="E12" s="6"/>
      <c r="F12" s="6"/>
    </row>
    <row r="13" spans="1:6" x14ac:dyDescent="0.65">
      <c r="A13" s="5" t="s">
        <v>10</v>
      </c>
      <c r="B13" s="6">
        <v>72.02</v>
      </c>
      <c r="C13" s="6">
        <v>94.04</v>
      </c>
      <c r="D13" s="6"/>
      <c r="E13" s="6"/>
      <c r="F13" s="6"/>
    </row>
    <row r="14" spans="1:6" x14ac:dyDescent="0.65">
      <c r="A14" s="5" t="s">
        <v>11</v>
      </c>
      <c r="B14" s="6">
        <v>73.989999999999995</v>
      </c>
      <c r="C14" s="6">
        <v>95.45</v>
      </c>
      <c r="D14" s="6"/>
      <c r="E14" s="6"/>
      <c r="F14" s="6"/>
    </row>
    <row r="15" spans="1:6" x14ac:dyDescent="0.65">
      <c r="A15" s="5" t="s">
        <v>12</v>
      </c>
      <c r="B15" s="23">
        <v>75.099999999999994</v>
      </c>
      <c r="C15" s="5">
        <v>97.18</v>
      </c>
      <c r="D15" s="5"/>
      <c r="E15" s="6"/>
      <c r="F15" s="6"/>
    </row>
    <row r="16" spans="1:6" ht="26.4" x14ac:dyDescent="0.7">
      <c r="A16" s="7" t="s">
        <v>13</v>
      </c>
      <c r="B16" s="8">
        <f>SUM(B4:B15)</f>
        <v>672.62</v>
      </c>
      <c r="C16" s="8">
        <f t="shared" ref="C16:F16" si="0">SUM(C4:C15)</f>
        <v>1050.56</v>
      </c>
      <c r="D16" s="8">
        <f t="shared" si="0"/>
        <v>508.82</v>
      </c>
      <c r="E16" s="8">
        <f t="shared" si="0"/>
        <v>0</v>
      </c>
      <c r="F16" s="8">
        <f t="shared" si="0"/>
        <v>0</v>
      </c>
    </row>
    <row r="17" spans="2:6" x14ac:dyDescent="0.65">
      <c r="B17" s="9"/>
      <c r="C17" s="9"/>
      <c r="D17" s="9"/>
      <c r="E17" s="9"/>
      <c r="F17" s="9"/>
    </row>
    <row r="18" spans="2:6" hidden="1" x14ac:dyDescent="0.65"/>
    <row r="19" spans="2:6" hidden="1" x14ac:dyDescent="0.65"/>
    <row r="20" spans="2:6" hidden="1" x14ac:dyDescent="0.65"/>
    <row r="21" spans="2:6" hidden="1" x14ac:dyDescent="0.65"/>
    <row r="22" spans="2:6" hidden="1" x14ac:dyDescent="0.65"/>
    <row r="23" spans="2:6" hidden="1" x14ac:dyDescent="0.65"/>
    <row r="24" spans="2:6" hidden="1" x14ac:dyDescent="0.65"/>
    <row r="25" spans="2:6" hidden="1" x14ac:dyDescent="0.65"/>
    <row r="26" spans="2:6" hidden="1" x14ac:dyDescent="0.65"/>
    <row r="27" spans="2:6" hidden="1" x14ac:dyDescent="0.65"/>
    <row r="28" spans="2:6" hidden="1" x14ac:dyDescent="0.65"/>
    <row r="29" spans="2:6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  <row r="96" hidden="1" x14ac:dyDescent="0.65"/>
    <row r="97" hidden="1" x14ac:dyDescent="0.65"/>
    <row r="98" hidden="1" x14ac:dyDescent="0.65"/>
    <row r="99" hidden="1" x14ac:dyDescent="0.65"/>
    <row r="100" hidden="1" x14ac:dyDescent="0.65"/>
    <row r="101" hidden="1" x14ac:dyDescent="0.65"/>
    <row r="102" hidden="1" x14ac:dyDescent="0.65"/>
    <row r="103" hidden="1" x14ac:dyDescent="0.65"/>
    <row r="104" hidden="1" x14ac:dyDescent="0.65"/>
    <row r="105" hidden="1" x14ac:dyDescent="0.65"/>
    <row r="106" hidden="1" x14ac:dyDescent="0.65"/>
    <row r="107" hidden="1" x14ac:dyDescent="0.65"/>
    <row r="108" hidden="1" x14ac:dyDescent="0.65"/>
    <row r="109" hidden="1" x14ac:dyDescent="0.65"/>
    <row r="110" hidden="1" x14ac:dyDescent="0.65"/>
    <row r="111" hidden="1" x14ac:dyDescent="0.65"/>
    <row r="112" hidden="1" x14ac:dyDescent="0.65"/>
    <row r="113" hidden="1" x14ac:dyDescent="0.65"/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showGridLines="0" view="pageBreakPreview" zoomScaleNormal="100" zoomScaleSheetLayoutView="100" workbookViewId="0">
      <pane ySplit="1836" topLeftCell="A4" activePane="bottomLeft"/>
      <selection activeCell="A2" sqref="A2"/>
      <selection pane="bottomLeft" activeCell="K13" sqref="K13"/>
    </sheetView>
  </sheetViews>
  <sheetFormatPr defaultRowHeight="25.8" x14ac:dyDescent="0.65"/>
  <cols>
    <col min="1" max="1" width="12" style="2" customWidth="1"/>
    <col min="2" max="6" width="12.69921875" style="2" customWidth="1"/>
    <col min="7" max="16384" width="8.796875" style="2"/>
  </cols>
  <sheetData>
    <row r="1" spans="1:6" ht="26.4" x14ac:dyDescent="0.7">
      <c r="A1" s="1" t="s">
        <v>24</v>
      </c>
    </row>
    <row r="2" spans="1:6" x14ac:dyDescent="0.65">
      <c r="A2" s="3" t="s">
        <v>0</v>
      </c>
      <c r="B2" s="3" t="s">
        <v>26</v>
      </c>
      <c r="C2" s="3" t="s">
        <v>25</v>
      </c>
      <c r="D2" s="3" t="s">
        <v>36</v>
      </c>
      <c r="E2" s="3" t="s">
        <v>37</v>
      </c>
      <c r="F2" s="3" t="s">
        <v>38</v>
      </c>
    </row>
    <row r="3" spans="1:6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</row>
    <row r="4" spans="1:6" x14ac:dyDescent="0.65">
      <c r="A4" s="5" t="s">
        <v>2</v>
      </c>
      <c r="B4" s="6"/>
      <c r="C4" s="6"/>
      <c r="D4" s="6"/>
      <c r="E4" s="6"/>
      <c r="F4" s="6"/>
    </row>
    <row r="5" spans="1:6" x14ac:dyDescent="0.65">
      <c r="A5" s="5" t="s">
        <v>21</v>
      </c>
      <c r="B5" s="6"/>
      <c r="C5" s="6"/>
      <c r="D5" s="6"/>
      <c r="E5" s="6"/>
      <c r="F5" s="6"/>
    </row>
    <row r="6" spans="1:6" x14ac:dyDescent="0.65">
      <c r="A6" s="5" t="s">
        <v>3</v>
      </c>
      <c r="B6" s="6"/>
      <c r="C6" s="6"/>
      <c r="D6" s="6"/>
      <c r="E6" s="6"/>
      <c r="F6" s="6"/>
    </row>
    <row r="7" spans="1:6" x14ac:dyDescent="0.65">
      <c r="A7" s="5" t="s">
        <v>4</v>
      </c>
      <c r="B7" s="6"/>
      <c r="C7" s="6"/>
      <c r="D7" s="6"/>
      <c r="E7" s="6"/>
      <c r="F7" s="6"/>
    </row>
    <row r="8" spans="1:6" x14ac:dyDescent="0.65">
      <c r="A8" s="5" t="s">
        <v>5</v>
      </c>
      <c r="B8" s="6"/>
      <c r="C8" s="6"/>
      <c r="D8" s="6"/>
      <c r="E8" s="6"/>
      <c r="F8" s="6"/>
    </row>
    <row r="9" spans="1:6" x14ac:dyDescent="0.65">
      <c r="A9" s="5" t="s">
        <v>6</v>
      </c>
      <c r="B9" s="6"/>
      <c r="C9" s="6"/>
      <c r="D9" s="6"/>
      <c r="E9" s="6"/>
      <c r="F9" s="6"/>
    </row>
    <row r="10" spans="1:6" x14ac:dyDescent="0.65">
      <c r="A10" s="5" t="s">
        <v>7</v>
      </c>
      <c r="B10" s="6"/>
      <c r="C10" s="6"/>
      <c r="D10" s="6"/>
      <c r="E10" s="6"/>
      <c r="F10" s="6"/>
    </row>
    <row r="11" spans="1:6" x14ac:dyDescent="0.65">
      <c r="A11" s="5" t="s">
        <v>8</v>
      </c>
      <c r="B11" s="6"/>
      <c r="C11" s="6"/>
      <c r="D11" s="6"/>
      <c r="E11" s="6"/>
      <c r="F11" s="6"/>
    </row>
    <row r="12" spans="1:6" x14ac:dyDescent="0.65">
      <c r="A12" s="5" t="s">
        <v>9</v>
      </c>
      <c r="B12" s="6"/>
      <c r="C12" s="6"/>
      <c r="D12" s="6"/>
      <c r="E12" s="6"/>
      <c r="F12" s="6"/>
    </row>
    <row r="13" spans="1:6" x14ac:dyDescent="0.65">
      <c r="A13" s="5" t="s">
        <v>10</v>
      </c>
      <c r="B13" s="6"/>
      <c r="C13" s="6"/>
      <c r="D13" s="6"/>
      <c r="E13" s="6"/>
      <c r="F13" s="6"/>
    </row>
    <row r="14" spans="1:6" x14ac:dyDescent="0.65">
      <c r="A14" s="5" t="s">
        <v>11</v>
      </c>
      <c r="B14" s="6"/>
      <c r="C14" s="6"/>
      <c r="D14" s="6"/>
      <c r="E14" s="6"/>
      <c r="F14" s="6"/>
    </row>
    <row r="15" spans="1:6" x14ac:dyDescent="0.65">
      <c r="A15" s="5" t="s">
        <v>12</v>
      </c>
      <c r="B15" s="5"/>
      <c r="C15" s="5"/>
      <c r="D15" s="5"/>
      <c r="E15" s="6"/>
      <c r="F15" s="6"/>
    </row>
    <row r="16" spans="1:6" ht="26.4" x14ac:dyDescent="0.7">
      <c r="A16" s="7" t="s">
        <v>13</v>
      </c>
      <c r="B16" s="8">
        <f>SUM(B4:B15)</f>
        <v>0</v>
      </c>
      <c r="C16" s="8">
        <f t="shared" ref="C16:F16" si="0">SUM(C4:C15)</f>
        <v>0</v>
      </c>
      <c r="D16" s="8">
        <f t="shared" si="0"/>
        <v>0</v>
      </c>
      <c r="E16" s="8">
        <f t="shared" si="0"/>
        <v>0</v>
      </c>
      <c r="F16" s="8">
        <f t="shared" si="0"/>
        <v>0</v>
      </c>
    </row>
    <row r="17" spans="2:6" x14ac:dyDescent="0.65">
      <c r="B17" s="9"/>
      <c r="C17" s="9"/>
      <c r="D17" s="9"/>
      <c r="E17" s="9"/>
      <c r="F17" s="9"/>
    </row>
    <row r="28" spans="2:6" hidden="1" x14ac:dyDescent="0.65"/>
    <row r="29" spans="2:6" hidden="1" x14ac:dyDescent="0.65"/>
    <row r="30" spans="2:6" hidden="1" x14ac:dyDescent="0.65"/>
    <row r="31" spans="2:6" hidden="1" x14ac:dyDescent="0.65"/>
    <row r="32" spans="2:6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9</vt:i4>
      </vt:variant>
      <vt:variant>
        <vt:lpstr>ช่วงที่มีชื่อ</vt:lpstr>
      </vt:variant>
      <vt:variant>
        <vt:i4>5</vt:i4>
      </vt:variant>
    </vt:vector>
  </HeadingPairs>
  <TitlesOfParts>
    <vt:vector size="14" baseType="lpstr">
      <vt:lpstr>อาคารสำนักงานมหาวิทยาลัย 110 kW</vt:lpstr>
      <vt:lpstr>อาคารอำนวย ยศสุข 300 kW</vt:lpstr>
      <vt:lpstr>อาคารยรรยง สิทธิชัย 20 kW</vt:lpstr>
      <vt:lpstr>ที่จอดรถวิทยาลัยพลังงานทดแทน 40</vt:lpstr>
      <vt:lpstr>วิทยาลัยพลังงานทดแทน 300 kW</vt:lpstr>
      <vt:lpstr>สนามกีฬาอินทนิล 40 kW </vt:lpstr>
      <vt:lpstr>อาคารหอพักอุดมศิลป์ 80 kW</vt:lpstr>
      <vt:lpstr>อาคารระบบประปา 20 kW </vt:lpstr>
      <vt:lpstr>อาคารระบบบำบัดน้ำเสีย 10 kW </vt:lpstr>
      <vt:lpstr>'วิทยาลัยพลังงานทดแทน 300 kW'!Print_Area</vt:lpstr>
      <vt:lpstr>'สนามกีฬาอินทนิล 40 kW '!Print_Area</vt:lpstr>
      <vt:lpstr>'อาคารยรรยง สิทธิชัย 20 kW'!Print_Area</vt:lpstr>
      <vt:lpstr>'อาคารสำนักงานมหาวิทยาลัย 110 kW'!Print_Area</vt:lpstr>
      <vt:lpstr>'อาคารอำนวย ยศสุข 300 kW'!Print_Area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2025-11-07T06:34:26Z</cp:lastPrinted>
  <dcterms:created xsi:type="dcterms:W3CDTF">2022-10-17T03:51:31Z</dcterms:created>
  <dcterms:modified xsi:type="dcterms:W3CDTF">2026-06-18T04:11:07Z</dcterms:modified>
</cp:coreProperties>
</file>