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32772" yWindow="32772" windowWidth="21600" windowHeight="9132" activeTab="1"/>
  </bookViews>
  <sheets>
    <sheet name="ชนิดกระดาษะ สนอ.65" sheetId="1" r:id="rId1"/>
    <sheet name="กระดาษ" sheetId="2" r:id="rId2"/>
    <sheet name="ชนิดกระดาษะ สนอ.66" sheetId="3" r:id="rId3"/>
  </sheets>
  <definedNames>
    <definedName name="_xlnm.Print_Area" localSheetId="1">'กระดาษ'!$A$1:$M$125</definedName>
  </definedNames>
  <calcPr fullCalcOnLoad="1"/>
</workbook>
</file>

<file path=xl/sharedStrings.xml><?xml version="1.0" encoding="utf-8"?>
<sst xmlns="http://schemas.openxmlformats.org/spreadsheetml/2006/main" count="222" uniqueCount="66">
  <si>
    <t>จำนวนพนักงาน</t>
  </si>
  <si>
    <t>รวม</t>
  </si>
  <si>
    <t>เฉลี่ย</t>
  </si>
  <si>
    <t>แบบฟอร์ม 3.1(1)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</si>
  <si>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</si>
  <si>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</si>
  <si>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</si>
  <si>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</si>
  <si>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</si>
  <si>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</si>
  <si>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</si>
  <si>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</si>
  <si>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</si>
  <si>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</si>
  <si>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</si>
  <si>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</si>
  <si>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</si>
  <si>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</si>
  <si>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</si>
  <si>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</si>
  <si>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</si>
  <si>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</si>
  <si>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</si>
  <si>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</si>
  <si>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</si>
  <si>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</si>
  <si>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</si>
  <si>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</si>
  <si>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</si>
  <si>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</si>
  <si>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</si>
  <si>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</si>
  <si>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ค่ากระดาษ/เดือน (บาท)</t>
  </si>
  <si>
    <r>
      <t xml:space="preserve">บันทึกการใช้กระดาษ ประจำปี </t>
    </r>
    <r>
      <rPr>
        <b/>
        <sz val="18"/>
        <color indexed="10"/>
        <rFont val="Cordia New"/>
        <family val="2"/>
      </rPr>
      <t>2566</t>
    </r>
  </si>
  <si>
    <r>
      <t xml:space="preserve">ปี 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</si>
  <si>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</si>
  <si>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t>ปริมาณการใช้กระดาษ</t>
  </si>
  <si>
    <t>สำนักงานอธิการบดี</t>
  </si>
  <si>
    <t>บันทึกประจำเดือน</t>
  </si>
  <si>
    <t>ชนิดกระดาษ</t>
  </si>
  <si>
    <t>ยอดยกมา</t>
  </si>
  <si>
    <t>จำนวน สั่งซื้อ</t>
  </si>
  <si>
    <t>อำนวย ยศสุข</t>
  </si>
  <si>
    <t>เทคโนโลยีดิจิทัล</t>
  </si>
  <si>
    <t>สำนักงานมหาวิทยาลัย</t>
  </si>
  <si>
    <t>จำนวนที่ใช้เบิก</t>
  </si>
  <si>
    <t>1 ริม / กก.</t>
  </si>
  <si>
    <t>ปริมาณการใช้กระดาษ/ (กิโลกรัม)</t>
  </si>
  <si>
    <t>ค่าใช้จ่ายการใช้
กระดาษ/ (บาท)</t>
  </si>
  <si>
    <t>A4 - 70แกรม</t>
  </si>
  <si>
    <t>A4 - 80แกรม</t>
  </si>
  <si>
    <t>F4 - 70แกรม</t>
  </si>
  <si>
    <t>F4 - 80แกรม</t>
  </si>
  <si>
    <r>
      <t xml:space="preserve">ปริมาณการใช้กระดาษ(รีม) ปี </t>
    </r>
    <r>
      <rPr>
        <b/>
        <sz val="16"/>
        <color indexed="10"/>
        <rFont val="Cordia New"/>
        <family val="2"/>
      </rPr>
      <t>2565</t>
    </r>
  </si>
  <si>
    <r>
      <t>ปริมาณการใช้กระดาษ(รีม)ปี</t>
    </r>
    <r>
      <rPr>
        <b/>
        <sz val="16"/>
        <color indexed="10"/>
        <rFont val="Cordia New"/>
        <family val="2"/>
      </rPr>
      <t xml:space="preserve"> 2566</t>
    </r>
  </si>
  <si>
    <r>
      <t xml:space="preserve">ปริมาณการใช้กระดาษ(กิโลกรัม) 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</si>
  <si>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ปริมาณการใช้กระดาษ(กิโลกรัม) 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</si>
  <si>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ปริมาณการใช้กระดาษต่อจำนวนพนักงาน(กิโลกรัม/คน)ปี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</si>
  <si>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ปริมาณการใช้กระดาษต่อจำนวนพนักงาน(กิโลกรัม/คน)ปี </t>
    </r>
    <r>
      <rPr>
        <b/>
        <sz val="16"/>
        <color indexed="10"/>
        <rFont val="Cordia New"/>
        <family val="2"/>
      </rPr>
      <t>2566</t>
    </r>
  </si>
  <si>
    <r>
      <t>ร้อยละปริมาณการใช้กระดาษ(กิโลกรัม)จากปี</t>
    </r>
    <r>
      <rPr>
        <b/>
        <sz val="16"/>
        <color indexed="10"/>
        <rFont val="Cordia New"/>
        <family val="2"/>
      </rPr>
      <t xml:space="preserve"> 2566</t>
    </r>
  </si>
  <si>
    <r>
      <t xml:space="preserve">ร้อยละปริมาณการใช้กระดาษ(กิโลกรัม/คน)จากปี </t>
    </r>
    <r>
      <rPr>
        <b/>
        <sz val="16"/>
        <color indexed="10"/>
        <rFont val="Cordia New"/>
        <family val="2"/>
      </rPr>
      <t>2566</t>
    </r>
  </si>
  <si>
    <r>
      <t xml:space="preserve">เป้าหมายร้อยละ 20 การใช้กระดาษ(กิโลกรัม/คน)จากปี </t>
    </r>
    <r>
      <rPr>
        <b/>
        <sz val="16"/>
        <color indexed="10"/>
        <rFont val="Cordia New"/>
        <family val="2"/>
      </rPr>
      <t>2566</t>
    </r>
  </si>
  <si>
    <t>ร้อยละ</t>
  </si>
  <si>
    <r>
      <t xml:space="preserve">ปริมาณการใช้กระดาษต่อจำนวนพนักงาน (กิโลกรัม/คน)ปี </t>
    </r>
    <r>
      <rPr>
        <b/>
        <sz val="11"/>
        <color indexed="10"/>
        <rFont val="TH Mali Grade 6"/>
        <family val="0"/>
      </rPr>
      <t>2565</t>
    </r>
  </si>
  <si>
    <r>
      <t xml:space="preserve">ปริมาณการใช้กระดาษต่อจำนวนพนักงาน (กิโลกรัม/คน)ปี </t>
    </r>
    <r>
      <rPr>
        <b/>
        <sz val="11"/>
        <color indexed="10"/>
        <rFont val="TH Mali Grade 6"/>
        <family val="0"/>
      </rPr>
      <t>2566</t>
    </r>
  </si>
  <si>
    <r>
      <t xml:space="preserve">เป้าหมายร้อยละ 20 การใช้กระดาษ(กิโลกรัม/คน)จากปี </t>
    </r>
    <r>
      <rPr>
        <b/>
        <sz val="16"/>
        <color indexed="10"/>
        <rFont val="Cordia New"/>
        <family val="2"/>
      </rPr>
      <t>2567</t>
    </r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</si>
</sst>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0.0"/>
    <numFmt numFmtId="214" formatCode="[Red]\(0%\);\-0%"/>
    <numFmt numFmtId="215" formatCode="[$-101041E]d\ mmm\ yy;@"/>
    <numFmt numFmtId="216" formatCode="0.000"/>
    <numFmt numFmtId="217" formatCode="0.0000"/>
    <numFmt numFmtId="218" formatCode="0.000000"/>
    <numFmt numFmtId="219" formatCode="0.00000"/>
  </numFmts>
  <fonts count="97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20"/>
      <name val="Cordia New"/>
      <family val="2"/>
    </font>
    <font>
      <b/>
      <sz val="18"/>
      <color indexed="10"/>
      <name val="Cordia New"/>
      <family val="2"/>
    </font>
    <font>
      <b/>
      <sz val="16"/>
      <color indexed="10"/>
      <name val="Cordia New"/>
      <family val="2"/>
    </font>
    <font>
      <b/>
      <sz val="18"/>
      <name val="Angsana New"/>
      <family val="1"/>
    </font>
    <font>
      <b/>
      <sz val="10"/>
      <name val="Arial"/>
      <family val="2"/>
    </font>
    <font>
      <b/>
      <sz val="16"/>
      <name val="Angsana New"/>
      <family val="1"/>
    </font>
    <font>
      <b/>
      <sz val="14"/>
      <color indexed="8"/>
      <name val="TH Mali Grade 6"/>
      <family val="0"/>
    </font>
    <font>
      <b/>
      <sz val="20"/>
      <color indexed="63"/>
      <name val="TH Mali Grade 6"/>
      <family val="0"/>
    </font>
    <font>
      <sz val="16"/>
      <name val="TH Mali Grade 6"/>
      <family val="0"/>
    </font>
    <font>
      <b/>
      <sz val="11"/>
      <name val="TH Mali Grade 6"/>
      <family val="0"/>
    </font>
    <font>
      <b/>
      <sz val="11"/>
      <color indexed="10"/>
      <name val="TH Mali Grade 6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Angsana New"/>
      <family val="1"/>
    </font>
    <font>
      <b/>
      <sz val="18"/>
      <color indexed="30"/>
      <name val="Angsana New"/>
      <family val="1"/>
    </font>
    <font>
      <b/>
      <sz val="18"/>
      <color indexed="17"/>
      <name val="Angsana New"/>
      <family val="1"/>
    </font>
    <font>
      <b/>
      <sz val="16"/>
      <color indexed="10"/>
      <name val="Angsana New"/>
      <family val="1"/>
    </font>
    <font>
      <b/>
      <sz val="16"/>
      <color indexed="30"/>
      <name val="Angsana New"/>
      <family val="1"/>
    </font>
    <font>
      <b/>
      <sz val="16"/>
      <color indexed="40"/>
      <name val="Angsana New"/>
      <family val="1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10"/>
      <name val="Cordia New"/>
      <family val="2"/>
    </font>
    <font>
      <b/>
      <sz val="16"/>
      <color indexed="10"/>
      <name val="TH Mali Grade 6"/>
      <family val="0"/>
    </font>
    <font>
      <sz val="18"/>
      <color indexed="10"/>
      <name val="TH Mali Grade 6"/>
      <family val="0"/>
    </font>
    <font>
      <b/>
      <sz val="14"/>
      <color indexed="8"/>
      <name val="Cordia New"/>
      <family val="0"/>
    </font>
    <font>
      <b/>
      <sz val="16.8"/>
      <color indexed="8"/>
      <name val="Cordia New"/>
      <family val="0"/>
    </font>
    <font>
      <b/>
      <sz val="16.8"/>
      <color indexed="10"/>
      <name val="Cordia New"/>
      <family val="0"/>
    </font>
    <font>
      <b/>
      <sz val="10.85"/>
      <color indexed="8"/>
      <name val="Cordia New"/>
      <family val="0"/>
    </font>
    <font>
      <b/>
      <sz val="20"/>
      <color indexed="8"/>
      <name val="TH Mali Grade 6"/>
      <family val="0"/>
    </font>
    <font>
      <b/>
      <sz val="20"/>
      <color indexed="10"/>
      <name val="TH Mali Grade 6"/>
      <family val="0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10"/>
      <color indexed="63"/>
      <name val="Tahoma"/>
      <family val="0"/>
    </font>
    <font>
      <b/>
      <sz val="24"/>
      <color indexed="63"/>
      <name val="TH Mali Grade 6"/>
      <family val="0"/>
    </font>
    <font>
      <b/>
      <sz val="24"/>
      <color indexed="10"/>
      <name val="TH Mali Grade 6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b/>
      <sz val="18"/>
      <color rgb="FF0070C0"/>
      <name val="Angsana New"/>
      <family val="1"/>
    </font>
    <font>
      <b/>
      <sz val="18"/>
      <color rgb="FF00B050"/>
      <name val="Angsana New"/>
      <family val="1"/>
    </font>
    <font>
      <b/>
      <sz val="16"/>
      <color rgb="FFFF0000"/>
      <name val="Angsana New"/>
      <family val="1"/>
    </font>
    <font>
      <b/>
      <sz val="16"/>
      <color rgb="FF0070C0"/>
      <name val="Angsana New"/>
      <family val="1"/>
    </font>
    <font>
      <b/>
      <sz val="16"/>
      <color rgb="FF00B0F0"/>
      <name val="Angsana New"/>
      <family val="1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Cordia New"/>
      <family val="2"/>
    </font>
    <font>
      <sz val="18"/>
      <color rgb="FFFF0000"/>
      <name val="Cordia New"/>
      <family val="2"/>
    </font>
    <font>
      <b/>
      <sz val="16"/>
      <color rgb="FFFF0000"/>
      <name val="TH Mali Grade 6"/>
      <family val="0"/>
    </font>
    <font>
      <sz val="18"/>
      <color rgb="FFFF0000"/>
      <name val="TH Mali Grade 6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213" fontId="5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214" fontId="5" fillId="33" borderId="11" xfId="47" applyNumberFormat="1" applyFont="1" applyFill="1" applyBorder="1" applyAlignment="1">
      <alignment horizontal="center" vertical="center" wrapText="1"/>
    </xf>
    <xf numFmtId="214" fontId="5" fillId="33" borderId="10" xfId="47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0" fillId="0" borderId="0" xfId="44" applyAlignment="1">
      <alignment horizontal="center"/>
      <protection/>
    </xf>
    <xf numFmtId="0" fontId="11" fillId="0" borderId="0" xfId="44" applyFont="1" applyAlignment="1">
      <alignment horizontal="centerContinuous" vertical="center"/>
      <protection/>
    </xf>
    <xf numFmtId="0" fontId="82" fillId="35" borderId="0" xfId="44" applyFont="1" applyFill="1" applyAlignment="1">
      <alignment horizontal="centerContinuous" vertical="center"/>
      <protection/>
    </xf>
    <xf numFmtId="1" fontId="82" fillId="35" borderId="0" xfId="44" applyNumberFormat="1" applyFont="1" applyFill="1" applyAlignment="1">
      <alignment horizontal="centerContinuous" vertical="center"/>
      <protection/>
    </xf>
    <xf numFmtId="1" fontId="11" fillId="35" borderId="0" xfId="44" applyNumberFormat="1" applyFont="1" applyFill="1" applyAlignment="1">
      <alignment horizontal="centerContinuous" vertical="center"/>
      <protection/>
    </xf>
    <xf numFmtId="1" fontId="82" fillId="0" borderId="0" xfId="44" applyNumberFormat="1" applyFont="1" applyFill="1" applyAlignment="1">
      <alignment horizontal="centerContinuous" vertical="center"/>
      <protection/>
    </xf>
    <xf numFmtId="1" fontId="82" fillId="0" borderId="0" xfId="44" applyNumberFormat="1" applyFont="1" applyAlignment="1">
      <alignment horizontal="centerContinuous" vertical="center"/>
      <protection/>
    </xf>
    <xf numFmtId="0" fontId="83" fillId="0" borderId="0" xfId="44" applyFont="1" applyAlignment="1">
      <alignment horizontal="centerContinuous" vertical="center"/>
      <protection/>
    </xf>
    <xf numFmtId="0" fontId="84" fillId="0" borderId="0" xfId="44" applyFont="1" applyAlignment="1">
      <alignment horizontal="centerContinuous" vertical="center"/>
      <protection/>
    </xf>
    <xf numFmtId="0" fontId="0" fillId="0" borderId="0" xfId="44">
      <alignment/>
      <protection/>
    </xf>
    <xf numFmtId="0" fontId="11" fillId="0" borderId="0" xfId="44" applyFont="1" applyAlignment="1">
      <alignment horizontal="left" vertical="center"/>
      <protection/>
    </xf>
    <xf numFmtId="0" fontId="11" fillId="0" borderId="0" xfId="44" applyFont="1" applyAlignment="1">
      <alignment horizontal="center" vertical="center"/>
      <protection/>
    </xf>
    <xf numFmtId="0" fontId="82" fillId="35" borderId="0" xfId="44" applyFont="1" applyFill="1" applyAlignment="1">
      <alignment horizontal="center" vertical="center"/>
      <protection/>
    </xf>
    <xf numFmtId="1" fontId="82" fillId="35" borderId="0" xfId="44" applyNumberFormat="1" applyFont="1" applyFill="1" applyAlignment="1">
      <alignment horizontal="center" vertical="center"/>
      <protection/>
    </xf>
    <xf numFmtId="1" fontId="11" fillId="35" borderId="0" xfId="44" applyNumberFormat="1" applyFont="1" applyFill="1" applyAlignment="1">
      <alignment horizontal="center" vertical="center"/>
      <protection/>
    </xf>
    <xf numFmtId="1" fontId="82" fillId="0" borderId="0" xfId="44" applyNumberFormat="1" applyFont="1" applyFill="1" applyAlignment="1">
      <alignment horizontal="center" vertical="center"/>
      <protection/>
    </xf>
    <xf numFmtId="1" fontId="82" fillId="0" borderId="0" xfId="44" applyNumberFormat="1" applyFont="1" applyAlignment="1">
      <alignment horizontal="center" vertical="center"/>
      <protection/>
    </xf>
    <xf numFmtId="0" fontId="83" fillId="0" borderId="0" xfId="44" applyFont="1" applyAlignment="1">
      <alignment horizontal="center" vertical="center"/>
      <protection/>
    </xf>
    <xf numFmtId="0" fontId="84" fillId="0" borderId="0" xfId="44" applyFont="1" applyAlignment="1">
      <alignment horizontal="center" vertical="center"/>
      <protection/>
    </xf>
    <xf numFmtId="0" fontId="12" fillId="0" borderId="0" xfId="44" applyFont="1" applyAlignment="1">
      <alignment horizontal="center" vertical="center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85" fillId="35" borderId="10" xfId="44" applyFont="1" applyFill="1" applyBorder="1" applyAlignment="1">
      <alignment horizontal="center" vertical="center" wrapText="1"/>
      <protection/>
    </xf>
    <xf numFmtId="1" fontId="85" fillId="35" borderId="10" xfId="44" applyNumberFormat="1" applyFont="1" applyFill="1" applyBorder="1" applyAlignment="1">
      <alignment horizontal="center" vertical="center" wrapText="1"/>
      <protection/>
    </xf>
    <xf numFmtId="1" fontId="13" fillId="35" borderId="10" xfId="44" applyNumberFormat="1" applyFont="1" applyFill="1" applyBorder="1" applyAlignment="1">
      <alignment horizontal="center" vertical="center" wrapText="1"/>
      <protection/>
    </xf>
    <xf numFmtId="1" fontId="85" fillId="0" borderId="10" xfId="44" applyNumberFormat="1" applyFont="1" applyFill="1" applyBorder="1" applyAlignment="1">
      <alignment horizontal="center" vertical="center" wrapText="1"/>
      <protection/>
    </xf>
    <xf numFmtId="1" fontId="85" fillId="0" borderId="10" xfId="44" applyNumberFormat="1" applyFont="1" applyBorder="1" applyAlignment="1">
      <alignment horizontal="center" vertical="center" wrapText="1"/>
      <protection/>
    </xf>
    <xf numFmtId="0" fontId="86" fillId="0" borderId="10" xfId="44" applyFont="1" applyBorder="1" applyAlignment="1">
      <alignment horizontal="center" vertical="center" wrapText="1"/>
      <protection/>
    </xf>
    <xf numFmtId="0" fontId="87" fillId="0" borderId="10" xfId="44" applyFont="1" applyBorder="1" applyAlignment="1">
      <alignment horizontal="center" vertical="center" wrapText="1"/>
      <protection/>
    </xf>
    <xf numFmtId="0" fontId="12" fillId="0" borderId="0" xfId="44" applyFont="1" applyAlignment="1">
      <alignment vertical="center"/>
      <protection/>
    </xf>
    <xf numFmtId="0" fontId="88" fillId="35" borderId="0" xfId="44" applyFont="1" applyFill="1">
      <alignment/>
      <protection/>
    </xf>
    <xf numFmtId="1" fontId="88" fillId="35" borderId="0" xfId="44" applyNumberFormat="1" applyFont="1" applyFill="1">
      <alignment/>
      <protection/>
    </xf>
    <xf numFmtId="1" fontId="0" fillId="35" borderId="0" xfId="44" applyNumberFormat="1" applyFill="1">
      <alignment/>
      <protection/>
    </xf>
    <xf numFmtId="1" fontId="88" fillId="0" borderId="0" xfId="44" applyNumberFormat="1" applyFont="1" applyFill="1">
      <alignment/>
      <protection/>
    </xf>
    <xf numFmtId="1" fontId="88" fillId="0" borderId="0" xfId="44" applyNumberFormat="1" applyFont="1">
      <alignment/>
      <protection/>
    </xf>
    <xf numFmtId="4" fontId="89" fillId="0" borderId="0" xfId="44" applyNumberFormat="1" applyFont="1" applyAlignment="1">
      <alignment horizontal="center"/>
      <protection/>
    </xf>
    <xf numFmtId="4" fontId="90" fillId="0" borderId="0" xfId="44" applyNumberFormat="1" applyFont="1" applyAlignment="1">
      <alignment horizontal="center"/>
      <protection/>
    </xf>
    <xf numFmtId="17" fontId="13" fillId="0" borderId="12" xfId="44" applyNumberFormat="1" applyFont="1" applyBorder="1" applyAlignment="1">
      <alignment horizontal="center"/>
      <protection/>
    </xf>
    <xf numFmtId="215" fontId="13" fillId="0" borderId="12" xfId="44" applyNumberFormat="1" applyFont="1" applyBorder="1" applyAlignment="1">
      <alignment horizontal="center"/>
      <protection/>
    </xf>
    <xf numFmtId="1" fontId="85" fillId="35" borderId="12" xfId="44" applyNumberFormat="1" applyFont="1" applyFill="1" applyBorder="1" applyAlignment="1">
      <alignment horizontal="center"/>
      <protection/>
    </xf>
    <xf numFmtId="1" fontId="13" fillId="35" borderId="12" xfId="44" applyNumberFormat="1" applyFont="1" applyFill="1" applyBorder="1" applyAlignment="1">
      <alignment horizontal="center"/>
      <protection/>
    </xf>
    <xf numFmtId="1" fontId="85" fillId="0" borderId="12" xfId="44" applyNumberFormat="1" applyFont="1" applyFill="1" applyBorder="1" applyAlignment="1">
      <alignment horizontal="center"/>
      <protection/>
    </xf>
    <xf numFmtId="1" fontId="85" fillId="0" borderId="12" xfId="44" applyNumberFormat="1" applyFont="1" applyBorder="1" applyAlignment="1">
      <alignment horizontal="center"/>
      <protection/>
    </xf>
    <xf numFmtId="2" fontId="13" fillId="0" borderId="12" xfId="44" applyNumberFormat="1" applyFont="1" applyBorder="1" applyAlignment="1">
      <alignment horizontal="center"/>
      <protection/>
    </xf>
    <xf numFmtId="4" fontId="86" fillId="0" borderId="13" xfId="44" applyNumberFormat="1" applyFont="1" applyBorder="1" applyAlignment="1">
      <alignment horizontal="center"/>
      <protection/>
    </xf>
    <xf numFmtId="3" fontId="87" fillId="0" borderId="12" xfId="44" applyNumberFormat="1" applyFont="1" applyBorder="1" applyAlignment="1">
      <alignment horizontal="center" vertical="center" wrapText="1"/>
      <protection/>
    </xf>
    <xf numFmtId="17" fontId="13" fillId="0" borderId="14" xfId="44" applyNumberFormat="1" applyFont="1" applyBorder="1" applyAlignment="1">
      <alignment horizontal="center"/>
      <protection/>
    </xf>
    <xf numFmtId="215" fontId="13" fillId="0" borderId="14" xfId="44" applyNumberFormat="1" applyFont="1" applyBorder="1" applyAlignment="1">
      <alignment horizontal="center"/>
      <protection/>
    </xf>
    <xf numFmtId="1" fontId="85" fillId="35" borderId="15" xfId="44" applyNumberFormat="1" applyFont="1" applyFill="1" applyBorder="1" applyAlignment="1">
      <alignment horizontal="center"/>
      <protection/>
    </xf>
    <xf numFmtId="1" fontId="13" fillId="35" borderId="15" xfId="44" applyNumberFormat="1" applyFont="1" applyFill="1" applyBorder="1" applyAlignment="1">
      <alignment horizontal="center"/>
      <protection/>
    </xf>
    <xf numFmtId="1" fontId="85" fillId="0" borderId="15" xfId="44" applyNumberFormat="1" applyFont="1" applyFill="1" applyBorder="1" applyAlignment="1">
      <alignment horizontal="center"/>
      <protection/>
    </xf>
    <xf numFmtId="1" fontId="85" fillId="0" borderId="15" xfId="44" applyNumberFormat="1" applyFont="1" applyBorder="1" applyAlignment="1">
      <alignment horizontal="center"/>
      <protection/>
    </xf>
    <xf numFmtId="2" fontId="13" fillId="0" borderId="15" xfId="44" applyNumberFormat="1" applyFont="1" applyBorder="1" applyAlignment="1">
      <alignment horizontal="center"/>
      <protection/>
    </xf>
    <xf numFmtId="4" fontId="86" fillId="0" borderId="14" xfId="44" applyNumberFormat="1" applyFont="1" applyBorder="1" applyAlignment="1">
      <alignment horizontal="center"/>
      <protection/>
    </xf>
    <xf numFmtId="3" fontId="87" fillId="0" borderId="14" xfId="44" applyNumberFormat="1" applyFont="1" applyBorder="1" applyAlignment="1">
      <alignment horizontal="center" vertical="center" wrapText="1"/>
      <protection/>
    </xf>
    <xf numFmtId="215" fontId="13" fillId="0" borderId="15" xfId="44" applyNumberFormat="1" applyFont="1" applyBorder="1" applyAlignment="1">
      <alignment horizontal="center"/>
      <protection/>
    </xf>
    <xf numFmtId="215" fontId="85" fillId="35" borderId="15" xfId="44" applyNumberFormat="1" applyFont="1" applyFill="1" applyBorder="1" applyAlignment="1">
      <alignment horizontal="center"/>
      <protection/>
    </xf>
    <xf numFmtId="4" fontId="87" fillId="0" borderId="15" xfId="44" applyNumberFormat="1" applyFont="1" applyBorder="1" applyAlignment="1">
      <alignment horizontal="center"/>
      <protection/>
    </xf>
    <xf numFmtId="4" fontId="86" fillId="0" borderId="15" xfId="44" applyNumberFormat="1" applyFont="1" applyBorder="1" applyAlignment="1">
      <alignment horizontal="center"/>
      <protection/>
    </xf>
    <xf numFmtId="17" fontId="13" fillId="0" borderId="16" xfId="44" applyNumberFormat="1" applyFont="1" applyBorder="1" applyAlignment="1">
      <alignment horizontal="centerContinuous"/>
      <protection/>
    </xf>
    <xf numFmtId="0" fontId="13" fillId="0" borderId="11" xfId="44" applyFont="1" applyBorder="1" applyAlignment="1">
      <alignment horizontal="centerContinuous"/>
      <protection/>
    </xf>
    <xf numFmtId="1" fontId="85" fillId="35" borderId="11" xfId="44" applyNumberFormat="1" applyFont="1" applyFill="1" applyBorder="1" applyAlignment="1">
      <alignment horizontal="centerContinuous"/>
      <protection/>
    </xf>
    <xf numFmtId="1" fontId="13" fillId="35" borderId="11" xfId="44" applyNumberFormat="1" applyFont="1" applyFill="1" applyBorder="1" applyAlignment="1">
      <alignment horizontal="left"/>
      <protection/>
    </xf>
    <xf numFmtId="1" fontId="85" fillId="0" borderId="11" xfId="44" applyNumberFormat="1" applyFont="1" applyBorder="1" applyAlignment="1">
      <alignment horizontal="centerContinuous"/>
      <protection/>
    </xf>
    <xf numFmtId="0" fontId="13" fillId="0" borderId="11" xfId="44" applyFont="1" applyBorder="1" applyAlignment="1">
      <alignment horizontal="left"/>
      <protection/>
    </xf>
    <xf numFmtId="4" fontId="86" fillId="0" borderId="10" xfId="44" applyNumberFormat="1" applyFont="1" applyBorder="1" applyAlignment="1">
      <alignment horizontal="center"/>
      <protection/>
    </xf>
    <xf numFmtId="4" fontId="87" fillId="0" borderId="10" xfId="44" applyNumberFormat="1" applyFont="1" applyBorder="1" applyAlignment="1">
      <alignment horizontal="center"/>
      <protection/>
    </xf>
    <xf numFmtId="1" fontId="13" fillId="35" borderId="11" xfId="44" applyNumberFormat="1" applyFont="1" applyFill="1" applyBorder="1" applyAlignment="1">
      <alignment horizontal="centerContinuous"/>
      <protection/>
    </xf>
    <xf numFmtId="0" fontId="91" fillId="0" borderId="0" xfId="44" applyFont="1">
      <alignment/>
      <protection/>
    </xf>
    <xf numFmtId="0" fontId="92" fillId="0" borderId="0" xfId="44" applyFont="1">
      <alignment/>
      <protection/>
    </xf>
    <xf numFmtId="1" fontId="85" fillId="35" borderId="13" xfId="44" applyNumberFormat="1" applyFont="1" applyFill="1" applyBorder="1" applyAlignment="1">
      <alignment horizontal="center"/>
      <protection/>
    </xf>
    <xf numFmtId="1" fontId="0" fillId="0" borderId="0" xfId="44" applyNumberFormat="1">
      <alignment/>
      <protection/>
    </xf>
    <xf numFmtId="1" fontId="85" fillId="35" borderId="14" xfId="44" applyNumberFormat="1" applyFont="1" applyFill="1" applyBorder="1" applyAlignment="1">
      <alignment horizontal="center"/>
      <protection/>
    </xf>
    <xf numFmtId="1" fontId="13" fillId="35" borderId="17" xfId="44" applyNumberFormat="1" applyFont="1" applyFill="1" applyBorder="1" applyAlignment="1">
      <alignment horizontal="center"/>
      <protection/>
    </xf>
    <xf numFmtId="1" fontId="85" fillId="0" borderId="17" xfId="44" applyNumberFormat="1" applyFont="1" applyFill="1" applyBorder="1" applyAlignment="1">
      <alignment horizontal="center"/>
      <protection/>
    </xf>
    <xf numFmtId="1" fontId="85" fillId="35" borderId="18" xfId="44" applyNumberFormat="1" applyFont="1" applyFill="1" applyBorder="1" applyAlignment="1">
      <alignment horizontal="centerContinuous"/>
      <protection/>
    </xf>
    <xf numFmtId="1" fontId="13" fillId="35" borderId="18" xfId="44" applyNumberFormat="1" applyFont="1" applyFill="1" applyBorder="1" applyAlignment="1">
      <alignment horizontal="centerContinuous"/>
      <protection/>
    </xf>
    <xf numFmtId="1" fontId="85" fillId="0" borderId="18" xfId="44" applyNumberFormat="1" applyFont="1" applyFill="1" applyBorder="1" applyAlignment="1">
      <alignment horizontal="centerContinuous"/>
      <protection/>
    </xf>
    <xf numFmtId="1" fontId="85" fillId="0" borderId="0" xfId="44" applyNumberFormat="1" applyFont="1" applyFill="1" applyBorder="1" applyAlignment="1">
      <alignment horizontal="centerContinuous"/>
      <protection/>
    </xf>
    <xf numFmtId="1" fontId="5" fillId="34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" fontId="85" fillId="0" borderId="10" xfId="44" applyNumberFormat="1" applyFont="1" applyBorder="1" applyAlignment="1">
      <alignment horizontal="center"/>
      <protection/>
    </xf>
    <xf numFmtId="1" fontId="5" fillId="9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right"/>
    </xf>
    <xf numFmtId="4" fontId="93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214" fontId="5" fillId="33" borderId="0" xfId="47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4" fontId="5" fillId="9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94" fillId="33" borderId="10" xfId="0" applyNumberFormat="1" applyFont="1" applyFill="1" applyBorder="1" applyAlignment="1">
      <alignment horizontal="center"/>
    </xf>
    <xf numFmtId="4" fontId="95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2" fontId="96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 vertical="center" wrapText="1"/>
    </xf>
    <xf numFmtId="17" fontId="13" fillId="0" borderId="16" xfId="44" applyNumberFormat="1" applyFont="1" applyBorder="1" applyAlignment="1">
      <alignment horizontal="center" vertical="center"/>
      <protection/>
    </xf>
    <xf numFmtId="17" fontId="13" fillId="0" borderId="11" xfId="44" applyNumberFormat="1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เปรียบเทียบปริมาณการใช้กระดาษ (กิโกรัม)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2565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กับ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ปี 2566</a:t>
            </a:r>
          </a:p>
        </c:rich>
      </c:tx>
      <c:layout>
        <c:manualLayout>
          <c:xMode val="factor"/>
          <c:yMode val="factor"/>
          <c:x val="-0.00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.097"/>
          <c:w val="0.739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กระดาษ!$C$4</c:f>
              <c:strCache>
                <c:ptCount val="1"/>
                <c:pt idx="0">
                  <c:v>ปริมาณการใช้กระดาษ(กิโลกรัม)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กระดาษ!$C$5:$C$16</c:f>
              <c:numCache/>
            </c:numRef>
          </c:val>
          <c:smooth val="0"/>
        </c:ser>
        <c:ser>
          <c:idx val="1"/>
          <c:order val="1"/>
          <c:tx>
            <c:strRef>
              <c:f>กระดาษ!$H$4</c:f>
              <c:strCache>
                <c:ptCount val="1"/>
                <c:pt idx="0">
                  <c:v>ปริมาณการใช้กระดาษ(กิโลกรัม) 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กระดาษ!$H$5:$H$16</c:f>
              <c:numCache/>
            </c:numRef>
          </c:val>
          <c:smooth val="0"/>
        </c:ser>
        <c:ser>
          <c:idx val="2"/>
          <c:order val="2"/>
          <c:tx>
            <c:strRef>
              <c:f>กระดาษ!$N$4</c:f>
              <c:strCache>
                <c:ptCount val="1"/>
                <c:pt idx="0">
                  <c:v>เป้าหมายร้อยละ 20 การใช้กระดาษ(กิโลกรัม/คน)จากปี 2566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กระดาษ!$N$5:$N$16</c:f>
              <c:numCache/>
            </c:numRef>
          </c:val>
          <c:smooth val="0"/>
        </c:ser>
        <c:marker val="1"/>
        <c:axId val="27656529"/>
        <c:axId val="47582170"/>
      </c:line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582170"/>
        <c:crosses val="autoZero"/>
        <c:auto val="1"/>
        <c:lblOffset val="100"/>
        <c:tickLblSkip val="1"/>
        <c:noMultiLvlLbl val="0"/>
      </c:catAx>
      <c:valAx>
        <c:axId val="47582170"/>
        <c:scaling>
          <c:orientation val="minMax"/>
          <c:max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65652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5515"/>
          <c:w val="0.27325"/>
          <c:h val="0.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เปรียบเทียบปริมาณการใช้กระดาษต่อคน (กิโลกรัม/คน) ระหว่าง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03"/>
          <c:w val="0.632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กระดาษ!$F$4</c:f>
              <c:strCache>
                <c:ptCount val="1"/>
                <c:pt idx="0">
                  <c:v>ปริมาณการใช้กระดาษต่อจำนวนพนักงาน(กิโลกรัม/คน)ปี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กระดาษ!$F$5:$F$16</c:f>
              <c:numCache/>
            </c:numRef>
          </c:val>
          <c:smooth val="0"/>
        </c:ser>
        <c:ser>
          <c:idx val="1"/>
          <c:order val="1"/>
          <c:tx>
            <c:strRef>
              <c:f>กระดาษ!$K$4</c:f>
              <c:strCache>
                <c:ptCount val="1"/>
                <c:pt idx="0">
                  <c:v>ปริมาณการใช้กระดาษต่อจำนวนพนักงาน(กิโลกรัม/คน)ปี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กระดาษ!$A$5:$A$16</c:f>
              <c:strCache/>
            </c:strRef>
          </c:cat>
          <c:val>
            <c:numRef>
              <c:f>กระดาษ!$K$5:$K$16</c:f>
              <c:numCache/>
            </c:numRef>
          </c:val>
          <c:smooth val="0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950532"/>
        <c:crosses val="autoZero"/>
        <c:auto val="1"/>
        <c:lblOffset val="100"/>
        <c:tickLblSkip val="1"/>
        <c:noMultiLvlLbl val="0"/>
      </c:catAx>
      <c:valAx>
        <c:axId val="28950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586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44625"/>
          <c:w val="0.3435"/>
          <c:h val="0.1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เปรียบเทียบปริมาณการใช้กระดาษต่อคน รวม (กิโลกรัม/คน) ระหว่าง </a:t>
            </a:r>
            <a:r>
              <a:rPr lang="en-US" cap="none" sz="2000" b="1" i="0" u="none" baseline="0">
                <a:solidFill>
                  <a:srgbClr val="FF0000"/>
                </a:solidFill>
              </a:rPr>
              <a:t>ปี 2565 กับ ปี 2566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58"/>
          <c:w val="0.821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กระดาษ!$T$4</c:f>
              <c:strCache>
                <c:ptCount val="1"/>
                <c:pt idx="0">
                  <c:v>ปริมาณการใช้กระดาษต่อจำนวนพนักงาน (กิโลกรัม/คน)ปี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กระดาษ!#REF!</c:f>
            </c:strRef>
          </c:cat>
          <c:val>
            <c:numRef>
              <c:f>กระดาษ!$T$5</c:f>
              <c:numCache/>
            </c:numRef>
          </c:val>
        </c:ser>
        <c:ser>
          <c:idx val="1"/>
          <c:order val="1"/>
          <c:tx>
            <c:strRef>
              <c:f>กระดาษ!$U$4</c:f>
              <c:strCache>
                <c:ptCount val="1"/>
                <c:pt idx="0">
                  <c:v>ปริมาณการใช้กระดาษต่อจำนวนพนักงาน (กิโลกรัม/คน)ปี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กระดาษ!#REF!</c:f>
            </c:strRef>
          </c:cat>
          <c:val>
            <c:numRef>
              <c:f>กระดาษ!$U$5</c:f>
              <c:numCache/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228197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</a:rPr>
              <a:t>กราฟเปรียบเทียบการใช้กระดาษ </a:t>
            </a:r>
            <a:r>
              <a:rPr lang="en-US" cap="none" sz="2400" b="1" i="0" u="none" baseline="0">
                <a:solidFill>
                  <a:srgbClr val="FF0000"/>
                </a:solidFill>
              </a:rPr>
              <a:t>ปี2565/ปี2566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9775"/>
          <c:w val="0.961"/>
          <c:h val="0.9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กระดาษ!$P$4</c:f>
              <c:strCache>
                <c:ptCount val="1"/>
                <c:pt idx="0">
                  <c:v>ปริมาณการใช้กระดาษ(กิโลกรัม) 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กระดาษ!$P$5</c:f>
              <c:numCache/>
            </c:numRef>
          </c:val>
        </c:ser>
        <c:ser>
          <c:idx val="1"/>
          <c:order val="1"/>
          <c:tx>
            <c:strRef>
              <c:f>กระดาษ!$Q$4</c:f>
              <c:strCache>
                <c:ptCount val="1"/>
                <c:pt idx="0">
                  <c:v>ปริมาณการใช้กระดาษ(กิโลกรัม) 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กระดาษ!$Q$5</c:f>
              <c:numCache/>
            </c:numRef>
          </c:val>
        </c:ser>
        <c:overlap val="-27"/>
        <c:gapWidth val="219"/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กิโลกรัม</a:t>
                </a:r>
              </a:p>
            </c:rich>
          </c:tx>
          <c:layout>
            <c:manualLayout>
              <c:xMode val="factor"/>
              <c:yMode val="factor"/>
              <c:x val="-0.042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7546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219075</xdr:rowOff>
    </xdr:from>
    <xdr:to>
      <xdr:col>12</xdr:col>
      <xdr:colOff>762000</xdr:colOff>
      <xdr:row>32</xdr:row>
      <xdr:rowOff>104775</xdr:rowOff>
    </xdr:to>
    <xdr:graphicFrame>
      <xdr:nvGraphicFramePr>
        <xdr:cNvPr id="1" name="แผนภูมิ 1"/>
        <xdr:cNvGraphicFramePr/>
      </xdr:nvGraphicFramePr>
      <xdr:xfrm>
        <a:off x="0" y="7210425"/>
        <a:ext cx="84772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50</xdr:row>
      <xdr:rowOff>276225</xdr:rowOff>
    </xdr:from>
    <xdr:to>
      <xdr:col>12</xdr:col>
      <xdr:colOff>238125</xdr:colOff>
      <xdr:row>61</xdr:row>
      <xdr:rowOff>152400</xdr:rowOff>
    </xdr:to>
    <xdr:graphicFrame>
      <xdr:nvGraphicFramePr>
        <xdr:cNvPr id="2" name="แผนภูมิ 2"/>
        <xdr:cNvGraphicFramePr/>
      </xdr:nvGraphicFramePr>
      <xdr:xfrm>
        <a:off x="47625" y="15830550"/>
        <a:ext cx="79057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64</xdr:row>
      <xdr:rowOff>19050</xdr:rowOff>
    </xdr:from>
    <xdr:to>
      <xdr:col>13</xdr:col>
      <xdr:colOff>38100</xdr:colOff>
      <xdr:row>82</xdr:row>
      <xdr:rowOff>104775</xdr:rowOff>
    </xdr:to>
    <xdr:graphicFrame>
      <xdr:nvGraphicFramePr>
        <xdr:cNvPr id="3" name="แผนภูมิ 1"/>
        <xdr:cNvGraphicFramePr/>
      </xdr:nvGraphicFramePr>
      <xdr:xfrm>
        <a:off x="19050" y="19440525"/>
        <a:ext cx="8515350" cy="5057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33</xdr:row>
      <xdr:rowOff>190500</xdr:rowOff>
    </xdr:from>
    <xdr:to>
      <xdr:col>11</xdr:col>
      <xdr:colOff>238125</xdr:colOff>
      <xdr:row>49</xdr:row>
      <xdr:rowOff>190500</xdr:rowOff>
    </xdr:to>
    <xdr:graphicFrame>
      <xdr:nvGraphicFramePr>
        <xdr:cNvPr id="4" name="แผนภูมิ 1"/>
        <xdr:cNvGraphicFramePr/>
      </xdr:nvGraphicFramePr>
      <xdr:xfrm>
        <a:off x="400050" y="11049000"/>
        <a:ext cx="677227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showGridLines="0" view="pageBreakPreview" zoomScaleNormal="95" zoomScaleSheetLayoutView="100" zoomScalePageLayoutView="0" workbookViewId="0" topLeftCell="B4">
      <pane ySplit="1956" topLeftCell="A70" activePane="bottomLeft" state="split"/>
      <selection pane="topLeft" activeCell="J4" sqref="J1:J16384"/>
      <selection pane="bottomLeft" activeCell="O76" sqref="O76"/>
    </sheetView>
  </sheetViews>
  <sheetFormatPr defaultColWidth="9.140625" defaultRowHeight="12.75"/>
  <cols>
    <col min="1" max="1" width="8.8515625" style="28" customWidth="1"/>
    <col min="2" max="2" width="10.8515625" style="37" customWidth="1"/>
    <col min="3" max="3" width="12.7109375" style="37" customWidth="1"/>
    <col min="4" max="4" width="7.00390625" style="57" hidden="1" customWidth="1"/>
    <col min="5" max="5" width="8.28125" style="58" hidden="1" customWidth="1"/>
    <col min="6" max="7" width="8.421875" style="59" hidden="1" customWidth="1"/>
    <col min="8" max="8" width="8.421875" style="60" customWidth="1"/>
    <col min="9" max="9" width="8.28125" style="61" customWidth="1"/>
    <col min="10" max="10" width="9.00390625" style="37" customWidth="1"/>
    <col min="11" max="11" width="12.7109375" style="95" customWidth="1"/>
    <col min="12" max="12" width="12.7109375" style="96" customWidth="1"/>
    <col min="13" max="16384" width="8.8515625" style="37" customWidth="1"/>
  </cols>
  <sheetData>
    <row r="1" spans="2:12" ht="26.25">
      <c r="B1" s="29" t="s">
        <v>36</v>
      </c>
      <c r="C1" s="29"/>
      <c r="D1" s="30"/>
      <c r="E1" s="31"/>
      <c r="F1" s="32"/>
      <c r="G1" s="32"/>
      <c r="H1" s="33"/>
      <c r="I1" s="34"/>
      <c r="J1" s="29"/>
      <c r="K1" s="35"/>
      <c r="L1" s="36"/>
    </row>
    <row r="2" spans="2:12" ht="26.25">
      <c r="B2" s="38" t="s">
        <v>37</v>
      </c>
      <c r="C2" s="39"/>
      <c r="D2" s="40"/>
      <c r="E2" s="41"/>
      <c r="F2" s="42"/>
      <c r="G2" s="42"/>
      <c r="H2" s="43"/>
      <c r="I2" s="44"/>
      <c r="J2" s="39"/>
      <c r="K2" s="45"/>
      <c r="L2" s="46"/>
    </row>
    <row r="4" spans="1:12" s="56" customFormat="1" ht="84" customHeight="1">
      <c r="A4" s="47"/>
      <c r="B4" s="48" t="s">
        <v>38</v>
      </c>
      <c r="C4" s="48" t="s">
        <v>39</v>
      </c>
      <c r="D4" s="49" t="s">
        <v>40</v>
      </c>
      <c r="E4" s="50" t="s">
        <v>41</v>
      </c>
      <c r="F4" s="51" t="s">
        <v>42</v>
      </c>
      <c r="G4" s="51" t="s">
        <v>43</v>
      </c>
      <c r="H4" s="52" t="s">
        <v>44</v>
      </c>
      <c r="I4" s="53" t="s">
        <v>45</v>
      </c>
      <c r="J4" s="48" t="s">
        <v>46</v>
      </c>
      <c r="K4" s="54" t="s">
        <v>47</v>
      </c>
      <c r="L4" s="55" t="s">
        <v>48</v>
      </c>
    </row>
    <row r="5" spans="2:20" s="28" customFormat="1" ht="23.25" customHeight="1">
      <c r="B5" s="37"/>
      <c r="C5" s="37"/>
      <c r="D5" s="57"/>
      <c r="E5" s="58"/>
      <c r="F5" s="59"/>
      <c r="G5" s="59"/>
      <c r="H5" s="60"/>
      <c r="I5" s="61"/>
      <c r="J5" s="37"/>
      <c r="K5" s="62"/>
      <c r="L5" s="63"/>
      <c r="M5" s="37"/>
      <c r="N5" s="37"/>
      <c r="O5" s="37"/>
      <c r="P5" s="37"/>
      <c r="Q5" s="37"/>
      <c r="R5" s="37"/>
      <c r="S5" s="37"/>
      <c r="T5" s="37"/>
    </row>
    <row r="6" spans="2:20" s="28" customFormat="1" ht="23.25">
      <c r="B6" s="64">
        <v>23743</v>
      </c>
      <c r="C6" s="65" t="s">
        <v>49</v>
      </c>
      <c r="D6" s="66"/>
      <c r="E6" s="66"/>
      <c r="F6" s="67"/>
      <c r="G6" s="67"/>
      <c r="H6" s="68">
        <f>25+30+15+20</f>
        <v>90</v>
      </c>
      <c r="I6" s="69">
        <f>SUM(F6:H6)</f>
        <v>90</v>
      </c>
      <c r="J6" s="70">
        <v>2.5</v>
      </c>
      <c r="K6" s="71">
        <f>H6*J6</f>
        <v>225</v>
      </c>
      <c r="L6" s="72">
        <f>"90"*I6</f>
        <v>8100</v>
      </c>
      <c r="M6" s="37"/>
      <c r="N6" s="37"/>
      <c r="O6" s="37"/>
      <c r="P6" s="37"/>
      <c r="Q6" s="37"/>
      <c r="R6" s="37"/>
      <c r="S6" s="37"/>
      <c r="T6" s="37"/>
    </row>
    <row r="7" spans="2:20" s="28" customFormat="1" ht="23.25">
      <c r="B7" s="73"/>
      <c r="C7" s="74" t="s">
        <v>50</v>
      </c>
      <c r="D7" s="75"/>
      <c r="E7" s="75"/>
      <c r="F7" s="76"/>
      <c r="G7" s="76"/>
      <c r="H7" s="77">
        <f>20+20+10+15+20+5+10+20+15</f>
        <v>135</v>
      </c>
      <c r="I7" s="78">
        <f>SUM(F7:H7)</f>
        <v>135</v>
      </c>
      <c r="J7" s="79">
        <v>2.5</v>
      </c>
      <c r="K7" s="80">
        <f>H7*J7</f>
        <v>337.5</v>
      </c>
      <c r="L7" s="81">
        <f>"105"*I7</f>
        <v>14175</v>
      </c>
      <c r="M7" s="37"/>
      <c r="N7" s="37"/>
      <c r="O7" s="37"/>
      <c r="P7" s="37"/>
      <c r="Q7" s="37"/>
      <c r="R7" s="37"/>
      <c r="S7" s="37"/>
      <c r="T7" s="37"/>
    </row>
    <row r="8" spans="2:20" s="28" customFormat="1" ht="23.25">
      <c r="B8" s="73"/>
      <c r="C8" s="82" t="s">
        <v>51</v>
      </c>
      <c r="D8" s="83"/>
      <c r="E8" s="75"/>
      <c r="F8" s="76"/>
      <c r="G8" s="76"/>
      <c r="H8" s="77"/>
      <c r="I8" s="78"/>
      <c r="J8" s="79">
        <v>2.8</v>
      </c>
      <c r="K8" s="80">
        <f>H8*J8</f>
        <v>0</v>
      </c>
      <c r="L8" s="84"/>
      <c r="M8" s="37"/>
      <c r="N8" s="37"/>
      <c r="O8" s="37"/>
      <c r="P8" s="37"/>
      <c r="Q8" s="37"/>
      <c r="R8" s="37"/>
      <c r="S8" s="37"/>
      <c r="T8" s="37"/>
    </row>
    <row r="9" spans="2:20" s="28" customFormat="1" ht="23.25">
      <c r="B9" s="73"/>
      <c r="C9" s="82" t="s">
        <v>52</v>
      </c>
      <c r="D9" s="83"/>
      <c r="E9" s="75"/>
      <c r="F9" s="76"/>
      <c r="G9" s="76"/>
      <c r="H9" s="77"/>
      <c r="I9" s="78"/>
      <c r="J9" s="79">
        <v>2.8</v>
      </c>
      <c r="K9" s="85">
        <f>H9*J9</f>
        <v>0</v>
      </c>
      <c r="L9" s="84"/>
      <c r="M9" s="37"/>
      <c r="N9" s="37"/>
      <c r="O9" s="37"/>
      <c r="P9" s="37"/>
      <c r="Q9" s="37"/>
      <c r="R9" s="37"/>
      <c r="S9" s="37"/>
      <c r="T9" s="37"/>
    </row>
    <row r="10" spans="2:20" s="28" customFormat="1" ht="23.25">
      <c r="B10" s="86" t="s">
        <v>1</v>
      </c>
      <c r="C10" s="87"/>
      <c r="D10" s="88">
        <f>SUM(D6:D9)</f>
        <v>0</v>
      </c>
      <c r="E10" s="88">
        <f>SUM(E6:E9)</f>
        <v>0</v>
      </c>
      <c r="F10" s="89"/>
      <c r="G10" s="89"/>
      <c r="H10" s="90">
        <f>SUM(H6:H9)</f>
        <v>225</v>
      </c>
      <c r="I10" s="90">
        <f>SUM(I6:I9)</f>
        <v>225</v>
      </c>
      <c r="J10" s="91"/>
      <c r="K10" s="92">
        <f>SUM(K6:K9)</f>
        <v>562.5</v>
      </c>
      <c r="L10" s="93">
        <f>SUM(L6:L9)</f>
        <v>22275</v>
      </c>
      <c r="M10" s="37"/>
      <c r="N10" s="37"/>
      <c r="O10" s="37"/>
      <c r="P10" s="37"/>
      <c r="Q10" s="37"/>
      <c r="R10" s="37"/>
      <c r="S10" s="37"/>
      <c r="T10" s="37"/>
    </row>
    <row r="11" spans="2:20" s="28" customFormat="1" ht="23.25" customHeight="1">
      <c r="B11" s="37"/>
      <c r="C11" s="37"/>
      <c r="D11" s="57"/>
      <c r="E11" s="58"/>
      <c r="F11" s="59"/>
      <c r="G11" s="59"/>
      <c r="H11" s="60"/>
      <c r="I11" s="61"/>
      <c r="J11" s="37"/>
      <c r="K11" s="62"/>
      <c r="L11" s="63"/>
      <c r="M11" s="37"/>
      <c r="N11" s="37"/>
      <c r="O11" s="37"/>
      <c r="P11" s="37"/>
      <c r="Q11" s="37"/>
      <c r="R11" s="37"/>
      <c r="S11" s="37"/>
      <c r="T11" s="37"/>
    </row>
    <row r="12" spans="2:20" s="28" customFormat="1" ht="23.25">
      <c r="B12" s="64">
        <v>23774</v>
      </c>
      <c r="C12" s="65" t="s">
        <v>49</v>
      </c>
      <c r="D12" s="66"/>
      <c r="E12" s="66"/>
      <c r="F12" s="67"/>
      <c r="G12" s="67"/>
      <c r="H12" s="68">
        <f>20+20+30</f>
        <v>70</v>
      </c>
      <c r="I12" s="69">
        <f>SUM(F12:H12)</f>
        <v>70</v>
      </c>
      <c r="J12" s="70">
        <v>2.5</v>
      </c>
      <c r="K12" s="71">
        <f>H12*J12</f>
        <v>175</v>
      </c>
      <c r="L12" s="72">
        <f>"90"*I12</f>
        <v>6300</v>
      </c>
      <c r="M12" s="37"/>
      <c r="N12" s="37"/>
      <c r="O12" s="37"/>
      <c r="P12" s="37"/>
      <c r="Q12" s="37"/>
      <c r="R12" s="37"/>
      <c r="S12" s="37"/>
      <c r="T12" s="37"/>
    </row>
    <row r="13" spans="2:20" s="28" customFormat="1" ht="23.25">
      <c r="B13" s="73"/>
      <c r="C13" s="74" t="s">
        <v>50</v>
      </c>
      <c r="D13" s="75"/>
      <c r="E13" s="75"/>
      <c r="F13" s="76"/>
      <c r="G13" s="76"/>
      <c r="H13" s="77">
        <f>10+10+10+10+5</f>
        <v>45</v>
      </c>
      <c r="I13" s="78">
        <f>SUM(F13:H13)</f>
        <v>45</v>
      </c>
      <c r="J13" s="79">
        <v>2.5</v>
      </c>
      <c r="K13" s="80">
        <f>H13*J13</f>
        <v>112.5</v>
      </c>
      <c r="L13" s="81">
        <f>"105"*I13</f>
        <v>4725</v>
      </c>
      <c r="M13" s="37"/>
      <c r="N13" s="37"/>
      <c r="O13" s="37"/>
      <c r="P13" s="37"/>
      <c r="Q13" s="37"/>
      <c r="R13" s="37"/>
      <c r="S13" s="37"/>
      <c r="T13" s="37"/>
    </row>
    <row r="14" spans="2:20" s="28" customFormat="1" ht="23.25">
      <c r="B14" s="73"/>
      <c r="C14" s="82" t="s">
        <v>51</v>
      </c>
      <c r="D14" s="83"/>
      <c r="E14" s="75"/>
      <c r="F14" s="76"/>
      <c r="G14" s="76"/>
      <c r="H14" s="77"/>
      <c r="I14" s="78"/>
      <c r="J14" s="79">
        <v>2.8</v>
      </c>
      <c r="K14" s="80">
        <f>H14*J14</f>
        <v>0</v>
      </c>
      <c r="L14" s="84"/>
      <c r="M14" s="37"/>
      <c r="N14" s="37"/>
      <c r="O14" s="37"/>
      <c r="P14" s="37"/>
      <c r="Q14" s="37"/>
      <c r="R14" s="37"/>
      <c r="S14" s="37"/>
      <c r="T14" s="37"/>
    </row>
    <row r="15" spans="2:20" s="28" customFormat="1" ht="23.25">
      <c r="B15" s="73"/>
      <c r="C15" s="82" t="s">
        <v>52</v>
      </c>
      <c r="D15" s="83"/>
      <c r="E15" s="75"/>
      <c r="F15" s="76"/>
      <c r="G15" s="76"/>
      <c r="H15" s="77"/>
      <c r="I15" s="78"/>
      <c r="J15" s="79">
        <v>2.8</v>
      </c>
      <c r="K15" s="85">
        <f>H15*J15</f>
        <v>0</v>
      </c>
      <c r="L15" s="84"/>
      <c r="M15" s="37"/>
      <c r="N15" s="37"/>
      <c r="O15" s="37"/>
      <c r="P15" s="37"/>
      <c r="Q15" s="37"/>
      <c r="R15" s="37"/>
      <c r="S15" s="37"/>
      <c r="T15" s="37"/>
    </row>
    <row r="16" spans="2:20" s="28" customFormat="1" ht="23.25">
      <c r="B16" s="86" t="s">
        <v>1</v>
      </c>
      <c r="C16" s="87"/>
      <c r="D16" s="88">
        <f>SUM(D12:D15)</f>
        <v>0</v>
      </c>
      <c r="E16" s="88">
        <f>SUM(E12:E15)</f>
        <v>0</v>
      </c>
      <c r="F16" s="89"/>
      <c r="G16" s="94"/>
      <c r="H16" s="90">
        <f>SUM(H12:H15)</f>
        <v>115</v>
      </c>
      <c r="I16" s="90">
        <f>SUM(I12:I15)</f>
        <v>115</v>
      </c>
      <c r="J16" s="91"/>
      <c r="K16" s="92">
        <f>SUM(K12:K15)</f>
        <v>287.5</v>
      </c>
      <c r="L16" s="93">
        <f>SUM(L12:L15)</f>
        <v>11025</v>
      </c>
      <c r="M16" s="37"/>
      <c r="N16" s="37"/>
      <c r="O16" s="37"/>
      <c r="P16" s="37"/>
      <c r="Q16" s="37"/>
      <c r="R16" s="37"/>
      <c r="S16" s="37"/>
      <c r="T16" s="37"/>
    </row>
    <row r="17" spans="2:20" s="28" customFormat="1" ht="23.25" customHeight="1">
      <c r="B17" s="37"/>
      <c r="C17" s="37"/>
      <c r="D17" s="57"/>
      <c r="E17" s="58"/>
      <c r="F17" s="59"/>
      <c r="G17" s="59"/>
      <c r="H17" s="60"/>
      <c r="I17" s="61"/>
      <c r="J17" s="37"/>
      <c r="K17" s="62"/>
      <c r="L17" s="63"/>
      <c r="M17" s="37"/>
      <c r="N17" s="37"/>
      <c r="O17" s="37"/>
      <c r="P17" s="37"/>
      <c r="Q17" s="37"/>
      <c r="R17" s="37"/>
      <c r="S17" s="37"/>
      <c r="T17" s="37"/>
    </row>
    <row r="18" spans="2:20" s="28" customFormat="1" ht="23.25">
      <c r="B18" s="64">
        <v>23802</v>
      </c>
      <c r="C18" s="65" t="s">
        <v>49</v>
      </c>
      <c r="D18" s="66"/>
      <c r="E18" s="66"/>
      <c r="F18" s="67"/>
      <c r="G18" s="67"/>
      <c r="H18" s="68">
        <f>30+15+5+20</f>
        <v>70</v>
      </c>
      <c r="I18" s="69">
        <f>SUM(F18:H18)</f>
        <v>70</v>
      </c>
      <c r="J18" s="70">
        <v>2.5</v>
      </c>
      <c r="K18" s="71">
        <f>H18*J18</f>
        <v>175</v>
      </c>
      <c r="L18" s="72">
        <f>"90"*I18</f>
        <v>6300</v>
      </c>
      <c r="M18" s="37"/>
      <c r="N18" s="37"/>
      <c r="O18" s="37"/>
      <c r="P18" s="37"/>
      <c r="Q18" s="37"/>
      <c r="R18" s="37"/>
      <c r="S18" s="37"/>
      <c r="T18" s="37"/>
    </row>
    <row r="19" spans="2:20" s="28" customFormat="1" ht="23.25">
      <c r="B19" s="73"/>
      <c r="C19" s="74" t="s">
        <v>50</v>
      </c>
      <c r="D19" s="75"/>
      <c r="E19" s="75"/>
      <c r="F19" s="76"/>
      <c r="G19" s="76"/>
      <c r="H19" s="77">
        <f>20+10+20+5+10+20+15+20</f>
        <v>120</v>
      </c>
      <c r="I19" s="78">
        <f>SUM(F19:H19)</f>
        <v>120</v>
      </c>
      <c r="J19" s="79">
        <v>2.5</v>
      </c>
      <c r="K19" s="80">
        <f>H19*J19</f>
        <v>300</v>
      </c>
      <c r="L19" s="81">
        <f>"105"*I19</f>
        <v>12600</v>
      </c>
      <c r="M19" s="37"/>
      <c r="N19" s="37"/>
      <c r="O19" s="37"/>
      <c r="P19" s="37"/>
      <c r="Q19" s="37"/>
      <c r="R19" s="37"/>
      <c r="S19" s="37"/>
      <c r="T19" s="37"/>
    </row>
    <row r="20" spans="2:20" s="28" customFormat="1" ht="23.25">
      <c r="B20" s="73"/>
      <c r="C20" s="82" t="s">
        <v>51</v>
      </c>
      <c r="D20" s="83"/>
      <c r="E20" s="75"/>
      <c r="F20" s="76"/>
      <c r="G20" s="76"/>
      <c r="H20" s="77"/>
      <c r="I20" s="78"/>
      <c r="J20" s="79">
        <v>2.8</v>
      </c>
      <c r="K20" s="80">
        <f>H20*J20</f>
        <v>0</v>
      </c>
      <c r="L20" s="84"/>
      <c r="M20" s="37"/>
      <c r="N20" s="37"/>
      <c r="O20" s="37"/>
      <c r="P20" s="37"/>
      <c r="Q20" s="37"/>
      <c r="R20" s="37"/>
      <c r="S20" s="37"/>
      <c r="T20" s="37"/>
    </row>
    <row r="21" spans="2:20" s="28" customFormat="1" ht="23.25">
      <c r="B21" s="73"/>
      <c r="C21" s="82" t="s">
        <v>52</v>
      </c>
      <c r="D21" s="83"/>
      <c r="E21" s="75"/>
      <c r="F21" s="76"/>
      <c r="G21" s="76"/>
      <c r="H21" s="77"/>
      <c r="I21" s="78"/>
      <c r="J21" s="79">
        <v>2.8</v>
      </c>
      <c r="K21" s="85">
        <f>H21*J21</f>
        <v>0</v>
      </c>
      <c r="L21" s="84"/>
      <c r="M21" s="37"/>
      <c r="N21" s="37"/>
      <c r="O21" s="37"/>
      <c r="P21" s="37"/>
      <c r="Q21" s="37"/>
      <c r="R21" s="37"/>
      <c r="S21" s="37"/>
      <c r="T21" s="37"/>
    </row>
    <row r="22" spans="2:20" s="28" customFormat="1" ht="23.25">
      <c r="B22" s="86" t="s">
        <v>1</v>
      </c>
      <c r="C22" s="87"/>
      <c r="D22" s="88">
        <f>SUM(D18:D21)</f>
        <v>0</v>
      </c>
      <c r="E22" s="88">
        <f>SUM(E18:E21)</f>
        <v>0</v>
      </c>
      <c r="F22" s="89"/>
      <c r="G22" s="94"/>
      <c r="H22" s="90">
        <f>SUM(H18:H21)</f>
        <v>190</v>
      </c>
      <c r="I22" s="90">
        <f>SUM(I18:I21)</f>
        <v>190</v>
      </c>
      <c r="J22" s="91"/>
      <c r="K22" s="92">
        <f>SUM(K18:K21)</f>
        <v>475</v>
      </c>
      <c r="L22" s="93">
        <f>SUM(L18:L21)</f>
        <v>18900</v>
      </c>
      <c r="M22" s="37"/>
      <c r="N22" s="37"/>
      <c r="O22" s="37"/>
      <c r="P22" s="37"/>
      <c r="Q22" s="37"/>
      <c r="R22" s="37"/>
      <c r="S22" s="37"/>
      <c r="T22" s="37"/>
    </row>
    <row r="23" spans="2:20" s="28" customFormat="1" ht="23.25" customHeight="1">
      <c r="B23" s="37"/>
      <c r="C23" s="37"/>
      <c r="D23" s="57"/>
      <c r="E23" s="58"/>
      <c r="F23" s="59"/>
      <c r="G23" s="59"/>
      <c r="H23" s="60"/>
      <c r="I23" s="61"/>
      <c r="J23" s="37"/>
      <c r="K23" s="62"/>
      <c r="L23" s="63"/>
      <c r="M23" s="37"/>
      <c r="N23" s="37"/>
      <c r="O23" s="37"/>
      <c r="P23" s="37"/>
      <c r="Q23" s="37"/>
      <c r="R23" s="37"/>
      <c r="S23" s="37"/>
      <c r="T23" s="37"/>
    </row>
    <row r="24" spans="2:20" s="28" customFormat="1" ht="23.25">
      <c r="B24" s="64">
        <v>23833</v>
      </c>
      <c r="C24" s="65" t="s">
        <v>49</v>
      </c>
      <c r="D24" s="66"/>
      <c r="E24" s="66"/>
      <c r="F24" s="67"/>
      <c r="G24" s="67"/>
      <c r="H24" s="68">
        <f>30+30+15</f>
        <v>75</v>
      </c>
      <c r="I24" s="69">
        <f>SUM(F24:H24)</f>
        <v>75</v>
      </c>
      <c r="J24" s="70">
        <v>2.5</v>
      </c>
      <c r="K24" s="71">
        <f>H24*J24</f>
        <v>187.5</v>
      </c>
      <c r="L24" s="72">
        <f>"90"*I24</f>
        <v>6750</v>
      </c>
      <c r="M24" s="37"/>
      <c r="N24" s="37"/>
      <c r="O24" s="37"/>
      <c r="P24" s="37"/>
      <c r="Q24" s="37"/>
      <c r="R24" s="37"/>
      <c r="S24" s="37"/>
      <c r="T24" s="37"/>
    </row>
    <row r="25" spans="2:20" s="28" customFormat="1" ht="23.25">
      <c r="B25" s="73"/>
      <c r="C25" s="74" t="s">
        <v>50</v>
      </c>
      <c r="D25" s="75"/>
      <c r="E25" s="75"/>
      <c r="F25" s="76"/>
      <c r="G25" s="76"/>
      <c r="H25" s="77">
        <f>20+5+5+5+15+25+20+5</f>
        <v>100</v>
      </c>
      <c r="I25" s="78">
        <f>SUM(F25:H25)</f>
        <v>100</v>
      </c>
      <c r="J25" s="79">
        <v>2.5</v>
      </c>
      <c r="K25" s="80">
        <f>H25*J25</f>
        <v>250</v>
      </c>
      <c r="L25" s="81">
        <f>"105"*I25</f>
        <v>10500</v>
      </c>
      <c r="M25" s="37"/>
      <c r="N25" s="37"/>
      <c r="O25" s="37"/>
      <c r="P25" s="37"/>
      <c r="Q25" s="37"/>
      <c r="R25" s="37"/>
      <c r="S25" s="37"/>
      <c r="T25" s="37"/>
    </row>
    <row r="26" spans="2:20" s="28" customFormat="1" ht="23.25">
      <c r="B26" s="73"/>
      <c r="C26" s="82" t="s">
        <v>51</v>
      </c>
      <c r="D26" s="83"/>
      <c r="E26" s="75"/>
      <c r="F26" s="76"/>
      <c r="G26" s="76"/>
      <c r="H26" s="77"/>
      <c r="I26" s="78"/>
      <c r="J26" s="79">
        <v>2.8</v>
      </c>
      <c r="K26" s="80">
        <f>H26*J26</f>
        <v>0</v>
      </c>
      <c r="L26" s="84"/>
      <c r="M26" s="37"/>
      <c r="N26" s="37"/>
      <c r="O26" s="37"/>
      <c r="P26" s="37"/>
      <c r="Q26" s="37"/>
      <c r="R26" s="37"/>
      <c r="S26" s="37"/>
      <c r="T26" s="37"/>
    </row>
    <row r="27" spans="2:20" s="28" customFormat="1" ht="23.25">
      <c r="B27" s="73"/>
      <c r="C27" s="82" t="s">
        <v>52</v>
      </c>
      <c r="D27" s="83"/>
      <c r="E27" s="75"/>
      <c r="F27" s="76"/>
      <c r="G27" s="76"/>
      <c r="H27" s="77"/>
      <c r="I27" s="78"/>
      <c r="J27" s="79">
        <v>2.8</v>
      </c>
      <c r="K27" s="85">
        <f>H27*J27</f>
        <v>0</v>
      </c>
      <c r="L27" s="84"/>
      <c r="M27" s="37"/>
      <c r="N27" s="37"/>
      <c r="O27" s="37"/>
      <c r="P27" s="37"/>
      <c r="Q27" s="37"/>
      <c r="R27" s="37"/>
      <c r="S27" s="37"/>
      <c r="T27" s="37"/>
    </row>
    <row r="28" spans="2:20" s="28" customFormat="1" ht="23.25">
      <c r="B28" s="124" t="s">
        <v>1</v>
      </c>
      <c r="C28" s="125"/>
      <c r="D28" s="88">
        <f>SUM(D24:D27)</f>
        <v>0</v>
      </c>
      <c r="E28" s="88">
        <f>SUM(E24:E27)</f>
        <v>0</v>
      </c>
      <c r="F28" s="89"/>
      <c r="G28" s="89"/>
      <c r="H28" s="90">
        <f>SUM(H24:H27)</f>
        <v>175</v>
      </c>
      <c r="I28" s="90">
        <f>SUM(I24:I27)</f>
        <v>175</v>
      </c>
      <c r="J28" s="91"/>
      <c r="K28" s="92">
        <f>SUM(K24:K27)</f>
        <v>437.5</v>
      </c>
      <c r="L28" s="93">
        <f>SUM(L24:L27)</f>
        <v>17250</v>
      </c>
      <c r="M28" s="37"/>
      <c r="N28" s="37"/>
      <c r="O28" s="37"/>
      <c r="P28" s="37"/>
      <c r="Q28" s="37"/>
      <c r="R28" s="37"/>
      <c r="S28" s="37"/>
      <c r="T28" s="37"/>
    </row>
    <row r="29" spans="2:20" s="28" customFormat="1" ht="23.25" customHeight="1">
      <c r="B29" s="37"/>
      <c r="C29" s="37"/>
      <c r="D29" s="57"/>
      <c r="E29" s="58"/>
      <c r="F29" s="59"/>
      <c r="G29" s="59"/>
      <c r="H29" s="60"/>
      <c r="I29" s="61"/>
      <c r="J29" s="37"/>
      <c r="K29" s="95"/>
      <c r="L29" s="96"/>
      <c r="M29" s="37"/>
      <c r="N29" s="37"/>
      <c r="O29" s="37"/>
      <c r="P29" s="37"/>
      <c r="Q29" s="37"/>
      <c r="R29" s="37"/>
      <c r="S29" s="37"/>
      <c r="T29" s="37"/>
    </row>
    <row r="30" spans="2:20" s="28" customFormat="1" ht="23.25">
      <c r="B30" s="64">
        <v>23863</v>
      </c>
      <c r="C30" s="65" t="s">
        <v>49</v>
      </c>
      <c r="D30" s="66"/>
      <c r="E30" s="66"/>
      <c r="F30" s="67"/>
      <c r="G30" s="67"/>
      <c r="H30" s="68">
        <f>20+1+30+20</f>
        <v>71</v>
      </c>
      <c r="I30" s="69">
        <f>SUM(F30:H30)</f>
        <v>71</v>
      </c>
      <c r="J30" s="70">
        <v>2.5</v>
      </c>
      <c r="K30" s="71">
        <f>H30*J30</f>
        <v>177.5</v>
      </c>
      <c r="L30" s="72">
        <f>"90"*I30</f>
        <v>6390</v>
      </c>
      <c r="M30" s="37"/>
      <c r="N30" s="37"/>
      <c r="O30" s="37"/>
      <c r="P30" s="37"/>
      <c r="Q30" s="37"/>
      <c r="R30" s="37"/>
      <c r="S30" s="37"/>
      <c r="T30" s="37"/>
    </row>
    <row r="31" spans="2:20" s="28" customFormat="1" ht="23.25">
      <c r="B31" s="73"/>
      <c r="C31" s="74" t="s">
        <v>50</v>
      </c>
      <c r="D31" s="75"/>
      <c r="E31" s="75"/>
      <c r="F31" s="76"/>
      <c r="G31" s="76"/>
      <c r="H31" s="77">
        <f>10+20+15+1+10+5+20+20</f>
        <v>101</v>
      </c>
      <c r="I31" s="78">
        <f>SUM(F31:H31)</f>
        <v>101</v>
      </c>
      <c r="J31" s="79">
        <v>2.5</v>
      </c>
      <c r="K31" s="80">
        <f>H31*J31</f>
        <v>252.5</v>
      </c>
      <c r="L31" s="81">
        <f>"105"*I31</f>
        <v>10605</v>
      </c>
      <c r="M31" s="37"/>
      <c r="N31" s="37"/>
      <c r="O31" s="37"/>
      <c r="P31" s="37"/>
      <c r="Q31" s="37"/>
      <c r="R31" s="37"/>
      <c r="S31" s="37"/>
      <c r="T31" s="37"/>
    </row>
    <row r="32" spans="2:20" s="28" customFormat="1" ht="23.25">
      <c r="B32" s="73"/>
      <c r="C32" s="82" t="s">
        <v>51</v>
      </c>
      <c r="D32" s="83"/>
      <c r="E32" s="75"/>
      <c r="F32" s="76"/>
      <c r="G32" s="76"/>
      <c r="H32" s="77"/>
      <c r="I32" s="78"/>
      <c r="J32" s="79">
        <v>2.8</v>
      </c>
      <c r="K32" s="80">
        <f>H32*J32</f>
        <v>0</v>
      </c>
      <c r="L32" s="84"/>
      <c r="M32" s="37"/>
      <c r="N32" s="37"/>
      <c r="O32" s="37"/>
      <c r="P32" s="37"/>
      <c r="Q32" s="37"/>
      <c r="R32" s="37"/>
      <c r="S32" s="37"/>
      <c r="T32" s="37"/>
    </row>
    <row r="33" spans="2:20" s="28" customFormat="1" ht="23.25">
      <c r="B33" s="73"/>
      <c r="C33" s="82" t="s">
        <v>52</v>
      </c>
      <c r="D33" s="83"/>
      <c r="E33" s="75"/>
      <c r="F33" s="76"/>
      <c r="G33" s="76"/>
      <c r="H33" s="77"/>
      <c r="I33" s="78"/>
      <c r="J33" s="79">
        <v>2.8</v>
      </c>
      <c r="K33" s="85">
        <f>H33*J33</f>
        <v>0</v>
      </c>
      <c r="L33" s="84"/>
      <c r="M33" s="37"/>
      <c r="N33" s="37"/>
      <c r="O33" s="37"/>
      <c r="P33" s="37"/>
      <c r="Q33" s="37"/>
      <c r="R33" s="37"/>
      <c r="S33" s="37"/>
      <c r="T33" s="37"/>
    </row>
    <row r="34" spans="2:20" s="28" customFormat="1" ht="23.25">
      <c r="B34" s="124" t="s">
        <v>1</v>
      </c>
      <c r="C34" s="125"/>
      <c r="D34" s="88">
        <f>SUM(D30:D33)</f>
        <v>0</v>
      </c>
      <c r="E34" s="88">
        <f>SUM(E30:E33)</f>
        <v>0</v>
      </c>
      <c r="F34" s="89"/>
      <c r="G34" s="89"/>
      <c r="H34" s="90">
        <f>SUM(H30:H33)</f>
        <v>172</v>
      </c>
      <c r="I34" s="90">
        <f>SUM(I30:I33)</f>
        <v>172</v>
      </c>
      <c r="J34" s="91"/>
      <c r="K34" s="92">
        <f>SUM(K30:K33)</f>
        <v>430</v>
      </c>
      <c r="L34" s="93">
        <f>SUM(L30:L33)</f>
        <v>16995</v>
      </c>
      <c r="M34" s="37"/>
      <c r="N34" s="37"/>
      <c r="O34" s="37"/>
      <c r="P34" s="37"/>
      <c r="Q34" s="37"/>
      <c r="R34" s="37"/>
      <c r="S34" s="37"/>
      <c r="T34" s="37"/>
    </row>
    <row r="35" spans="2:20" s="28" customFormat="1" ht="23.25" customHeight="1">
      <c r="B35" s="37"/>
      <c r="C35" s="37"/>
      <c r="D35" s="57"/>
      <c r="E35" s="58"/>
      <c r="F35" s="59"/>
      <c r="G35" s="59"/>
      <c r="H35" s="60"/>
      <c r="I35" s="61"/>
      <c r="J35" s="37"/>
      <c r="K35" s="62"/>
      <c r="L35" s="63"/>
      <c r="M35" s="37"/>
      <c r="N35" s="37"/>
      <c r="O35" s="37"/>
      <c r="P35" s="37"/>
      <c r="Q35" s="37"/>
      <c r="R35" s="37"/>
      <c r="S35" s="37"/>
      <c r="T35" s="37"/>
    </row>
    <row r="36" spans="2:20" s="28" customFormat="1" ht="23.25">
      <c r="B36" s="64">
        <v>23529</v>
      </c>
      <c r="C36" s="65" t="s">
        <v>49</v>
      </c>
      <c r="D36" s="66"/>
      <c r="E36" s="66"/>
      <c r="F36" s="67"/>
      <c r="G36" s="67"/>
      <c r="H36" s="68">
        <f>30+20</f>
        <v>50</v>
      </c>
      <c r="I36" s="69">
        <f>SUM(F36:H36)</f>
        <v>50</v>
      </c>
      <c r="J36" s="70">
        <v>2.5</v>
      </c>
      <c r="K36" s="71">
        <f>H36*J36</f>
        <v>125</v>
      </c>
      <c r="L36" s="72">
        <f>"90"*I36</f>
        <v>4500</v>
      </c>
      <c r="M36" s="37"/>
      <c r="N36" s="37"/>
      <c r="O36" s="37"/>
      <c r="P36" s="37"/>
      <c r="Q36" s="37"/>
      <c r="R36" s="37"/>
      <c r="S36" s="37"/>
      <c r="T36" s="37"/>
    </row>
    <row r="37" spans="2:20" s="28" customFormat="1" ht="23.25">
      <c r="B37" s="73"/>
      <c r="C37" s="74" t="s">
        <v>50</v>
      </c>
      <c r="D37" s="75"/>
      <c r="E37" s="75"/>
      <c r="F37" s="76"/>
      <c r="G37" s="76"/>
      <c r="H37" s="77">
        <f>15+25+5+10+5+2</f>
        <v>62</v>
      </c>
      <c r="I37" s="78">
        <f>SUM(F37:H37)</f>
        <v>62</v>
      </c>
      <c r="J37" s="79">
        <v>2.5</v>
      </c>
      <c r="K37" s="80">
        <f>H37*J37</f>
        <v>155</v>
      </c>
      <c r="L37" s="81">
        <f>"105"*I37</f>
        <v>6510</v>
      </c>
      <c r="M37" s="37"/>
      <c r="N37" s="37"/>
      <c r="O37" s="37"/>
      <c r="P37" s="37"/>
      <c r="Q37" s="37"/>
      <c r="R37" s="37"/>
      <c r="S37" s="37"/>
      <c r="T37" s="37"/>
    </row>
    <row r="38" spans="2:20" s="28" customFormat="1" ht="23.25">
      <c r="B38" s="73"/>
      <c r="C38" s="82" t="s">
        <v>51</v>
      </c>
      <c r="D38" s="75"/>
      <c r="E38" s="75"/>
      <c r="F38" s="76"/>
      <c r="G38" s="76"/>
      <c r="H38" s="77"/>
      <c r="I38" s="78"/>
      <c r="J38" s="79">
        <v>2.8</v>
      </c>
      <c r="K38" s="80">
        <f>H38*J38</f>
        <v>0</v>
      </c>
      <c r="L38" s="84"/>
      <c r="M38" s="37"/>
      <c r="N38" s="37"/>
      <c r="O38" s="37"/>
      <c r="P38" s="37"/>
      <c r="Q38" s="37"/>
      <c r="R38" s="37"/>
      <c r="S38" s="37"/>
      <c r="T38" s="37"/>
    </row>
    <row r="39" spans="2:20" s="28" customFormat="1" ht="23.25">
      <c r="B39" s="73"/>
      <c r="C39" s="82" t="s">
        <v>52</v>
      </c>
      <c r="D39" s="75"/>
      <c r="E39" s="75"/>
      <c r="F39" s="76"/>
      <c r="G39" s="76"/>
      <c r="H39" s="77"/>
      <c r="I39" s="78"/>
      <c r="J39" s="79">
        <v>2.8</v>
      </c>
      <c r="K39" s="85">
        <f>H39*J39</f>
        <v>0</v>
      </c>
      <c r="L39" s="84"/>
      <c r="M39" s="37"/>
      <c r="N39" s="37"/>
      <c r="O39" s="37"/>
      <c r="P39" s="37"/>
      <c r="Q39" s="37"/>
      <c r="R39" s="37"/>
      <c r="S39" s="37"/>
      <c r="T39" s="37"/>
    </row>
    <row r="40" spans="2:20" s="28" customFormat="1" ht="23.25">
      <c r="B40" s="124" t="s">
        <v>1</v>
      </c>
      <c r="C40" s="125"/>
      <c r="D40" s="88">
        <f>SUM(D36:D39)</f>
        <v>0</v>
      </c>
      <c r="E40" s="88">
        <f>SUM(E36:E39)</f>
        <v>0</v>
      </c>
      <c r="F40" s="89"/>
      <c r="G40" s="89"/>
      <c r="H40" s="90">
        <f>SUM(H36:H39)</f>
        <v>112</v>
      </c>
      <c r="I40" s="90">
        <f>SUM(I36:I39)</f>
        <v>112</v>
      </c>
      <c r="J40" s="91"/>
      <c r="K40" s="92">
        <f>SUM(K36:K39)</f>
        <v>280</v>
      </c>
      <c r="L40" s="93">
        <f>SUM(L36:L39)</f>
        <v>11010</v>
      </c>
      <c r="M40" s="37"/>
      <c r="N40" s="37"/>
      <c r="O40" s="37"/>
      <c r="P40" s="37"/>
      <c r="Q40" s="37"/>
      <c r="R40" s="37"/>
      <c r="S40" s="37"/>
      <c r="T40" s="37"/>
    </row>
    <row r="41" spans="2:20" s="28" customFormat="1" ht="23.25" customHeight="1">
      <c r="B41" s="37"/>
      <c r="C41" s="37"/>
      <c r="D41" s="57"/>
      <c r="E41" s="58"/>
      <c r="F41" s="59"/>
      <c r="G41" s="59"/>
      <c r="H41" s="60"/>
      <c r="I41" s="61"/>
      <c r="J41" s="37"/>
      <c r="K41" s="95"/>
      <c r="L41" s="96"/>
      <c r="M41" s="37"/>
      <c r="N41" s="37"/>
      <c r="O41" s="37"/>
      <c r="P41" s="37"/>
      <c r="Q41" s="37"/>
      <c r="R41" s="37"/>
      <c r="S41" s="37"/>
      <c r="T41" s="37"/>
    </row>
    <row r="42" spans="2:20" s="28" customFormat="1" ht="23.25">
      <c r="B42" s="64">
        <v>23924</v>
      </c>
      <c r="C42" s="65" t="s">
        <v>49</v>
      </c>
      <c r="D42" s="66"/>
      <c r="E42" s="66"/>
      <c r="F42" s="67"/>
      <c r="G42" s="67"/>
      <c r="H42" s="68">
        <f>30+30+20+20+10</f>
        <v>110</v>
      </c>
      <c r="I42" s="69">
        <f>SUM(F42:H42)</f>
        <v>110</v>
      </c>
      <c r="J42" s="70">
        <v>2.5</v>
      </c>
      <c r="K42" s="71">
        <f>H42*J42</f>
        <v>275</v>
      </c>
      <c r="L42" s="72">
        <f>"90"*I42</f>
        <v>9900</v>
      </c>
      <c r="M42" s="37"/>
      <c r="N42" s="37"/>
      <c r="O42" s="37"/>
      <c r="P42" s="37"/>
      <c r="Q42" s="37"/>
      <c r="R42" s="37"/>
      <c r="S42" s="37"/>
      <c r="T42" s="37"/>
    </row>
    <row r="43" spans="2:20" s="28" customFormat="1" ht="23.25">
      <c r="B43" s="73"/>
      <c r="C43" s="74" t="s">
        <v>50</v>
      </c>
      <c r="D43" s="75"/>
      <c r="E43" s="75"/>
      <c r="F43" s="76"/>
      <c r="G43" s="76"/>
      <c r="H43" s="77">
        <f>20+20+15+20+15</f>
        <v>90</v>
      </c>
      <c r="I43" s="78">
        <f>SUM(F43:H43)</f>
        <v>90</v>
      </c>
      <c r="J43" s="79">
        <v>2.5</v>
      </c>
      <c r="K43" s="80">
        <f>H43*J43</f>
        <v>225</v>
      </c>
      <c r="L43" s="81">
        <f>"105"*I43</f>
        <v>9450</v>
      </c>
      <c r="M43" s="37"/>
      <c r="N43" s="37"/>
      <c r="O43" s="37"/>
      <c r="P43" s="37"/>
      <c r="Q43" s="37"/>
      <c r="R43" s="37"/>
      <c r="S43" s="37"/>
      <c r="T43" s="37"/>
    </row>
    <row r="44" spans="2:20" s="28" customFormat="1" ht="23.25">
      <c r="B44" s="73"/>
      <c r="C44" s="82" t="s">
        <v>51</v>
      </c>
      <c r="D44" s="75"/>
      <c r="E44" s="75"/>
      <c r="F44" s="76"/>
      <c r="G44" s="76"/>
      <c r="H44" s="77"/>
      <c r="I44" s="78"/>
      <c r="J44" s="79">
        <v>2.8</v>
      </c>
      <c r="K44" s="80">
        <f>H44*J44</f>
        <v>0</v>
      </c>
      <c r="L44" s="84"/>
      <c r="M44" s="37"/>
      <c r="N44" s="37"/>
      <c r="O44" s="37"/>
      <c r="P44" s="37"/>
      <c r="Q44" s="37"/>
      <c r="R44" s="37"/>
      <c r="S44" s="37"/>
      <c r="T44" s="37"/>
    </row>
    <row r="45" spans="2:20" s="28" customFormat="1" ht="23.25">
      <c r="B45" s="73"/>
      <c r="C45" s="82" t="s">
        <v>52</v>
      </c>
      <c r="D45" s="75"/>
      <c r="E45" s="75"/>
      <c r="F45" s="76"/>
      <c r="G45" s="76"/>
      <c r="H45" s="77"/>
      <c r="I45" s="78"/>
      <c r="J45" s="79">
        <v>2.8</v>
      </c>
      <c r="K45" s="85">
        <f>H45*J45</f>
        <v>0</v>
      </c>
      <c r="L45" s="84"/>
      <c r="M45" s="37"/>
      <c r="N45" s="37"/>
      <c r="O45" s="37"/>
      <c r="P45" s="37"/>
      <c r="Q45" s="37"/>
      <c r="R45" s="37"/>
      <c r="S45" s="37"/>
      <c r="T45" s="37"/>
    </row>
    <row r="46" spans="2:20" s="28" customFormat="1" ht="23.25">
      <c r="B46" s="124" t="s">
        <v>1</v>
      </c>
      <c r="C46" s="125"/>
      <c r="D46" s="88">
        <f>SUM(D42:D45)</f>
        <v>0</v>
      </c>
      <c r="E46" s="88">
        <f>SUM(E42:E45)</f>
        <v>0</v>
      </c>
      <c r="F46" s="89"/>
      <c r="G46" s="89"/>
      <c r="H46" s="90">
        <f>SUM(H42:H45)</f>
        <v>200</v>
      </c>
      <c r="I46" s="90">
        <f>SUM(I42:I45)</f>
        <v>200</v>
      </c>
      <c r="J46" s="91"/>
      <c r="K46" s="92">
        <f>SUM(K42:K45)</f>
        <v>500</v>
      </c>
      <c r="L46" s="93">
        <f>SUM(L42:L45)</f>
        <v>19350</v>
      </c>
      <c r="M46" s="37"/>
      <c r="N46" s="37"/>
      <c r="O46" s="37"/>
      <c r="P46" s="37"/>
      <c r="Q46" s="37"/>
      <c r="R46" s="37"/>
      <c r="S46" s="37"/>
      <c r="T46" s="37"/>
    </row>
    <row r="47" spans="2:20" s="28" customFormat="1" ht="23.25" customHeight="1">
      <c r="B47" s="37"/>
      <c r="C47" s="37"/>
      <c r="D47" s="57"/>
      <c r="E47" s="58"/>
      <c r="F47" s="59"/>
      <c r="G47" s="59"/>
      <c r="H47" s="60"/>
      <c r="I47" s="61"/>
      <c r="J47" s="37"/>
      <c r="K47" s="62"/>
      <c r="L47" s="63"/>
      <c r="M47" s="37"/>
      <c r="N47" s="37"/>
      <c r="O47" s="37"/>
      <c r="P47" s="37"/>
      <c r="Q47" s="37"/>
      <c r="R47" s="37"/>
      <c r="S47" s="37"/>
      <c r="T47" s="37"/>
    </row>
    <row r="48" spans="2:20" s="28" customFormat="1" ht="23.25">
      <c r="B48" s="64">
        <v>23955</v>
      </c>
      <c r="C48" s="65" t="s">
        <v>49</v>
      </c>
      <c r="D48" s="66"/>
      <c r="E48" s="66"/>
      <c r="F48" s="67"/>
      <c r="G48" s="67"/>
      <c r="H48" s="68">
        <v>150</v>
      </c>
      <c r="I48" s="69">
        <f>SUM(F48:H48)</f>
        <v>150</v>
      </c>
      <c r="J48" s="70">
        <v>2.5</v>
      </c>
      <c r="K48" s="71">
        <f>H48*J48</f>
        <v>375</v>
      </c>
      <c r="L48" s="72">
        <f>"90"*I48</f>
        <v>13500</v>
      </c>
      <c r="M48" s="37"/>
      <c r="N48" s="37"/>
      <c r="O48" s="37"/>
      <c r="P48" s="37"/>
      <c r="Q48" s="37"/>
      <c r="R48" s="37"/>
      <c r="S48" s="37"/>
      <c r="T48" s="37"/>
    </row>
    <row r="49" spans="2:20" s="28" customFormat="1" ht="23.25">
      <c r="B49" s="73"/>
      <c r="C49" s="74" t="s">
        <v>50</v>
      </c>
      <c r="D49" s="75"/>
      <c r="E49" s="75"/>
      <c r="F49" s="76"/>
      <c r="G49" s="76"/>
      <c r="H49" s="77">
        <v>150</v>
      </c>
      <c r="I49" s="78">
        <f>SUM(F49:H49)</f>
        <v>150</v>
      </c>
      <c r="J49" s="79">
        <v>2.5</v>
      </c>
      <c r="K49" s="80">
        <f>H49*J49</f>
        <v>375</v>
      </c>
      <c r="L49" s="81">
        <f>"105"*I49</f>
        <v>15750</v>
      </c>
      <c r="M49" s="37"/>
      <c r="N49" s="37"/>
      <c r="O49" s="37"/>
      <c r="P49" s="37"/>
      <c r="Q49" s="37"/>
      <c r="R49" s="37"/>
      <c r="S49" s="37"/>
      <c r="T49" s="37"/>
    </row>
    <row r="50" spans="2:20" s="28" customFormat="1" ht="23.25">
      <c r="B50" s="73"/>
      <c r="C50" s="82" t="s">
        <v>51</v>
      </c>
      <c r="D50" s="75"/>
      <c r="E50" s="75"/>
      <c r="F50" s="76"/>
      <c r="G50" s="76"/>
      <c r="H50" s="77"/>
      <c r="I50" s="78"/>
      <c r="J50" s="79">
        <v>2.8</v>
      </c>
      <c r="K50" s="80">
        <f>H50*J50</f>
        <v>0</v>
      </c>
      <c r="L50" s="84"/>
      <c r="M50" s="37"/>
      <c r="N50" s="37"/>
      <c r="O50" s="37"/>
      <c r="P50" s="37"/>
      <c r="Q50" s="37"/>
      <c r="R50" s="37"/>
      <c r="S50" s="37"/>
      <c r="T50" s="37"/>
    </row>
    <row r="51" spans="2:20" s="28" customFormat="1" ht="23.25">
      <c r="B51" s="73"/>
      <c r="C51" s="82" t="s">
        <v>52</v>
      </c>
      <c r="D51" s="75"/>
      <c r="E51" s="75"/>
      <c r="F51" s="76"/>
      <c r="G51" s="76"/>
      <c r="H51" s="77"/>
      <c r="I51" s="78"/>
      <c r="J51" s="79">
        <v>2.8</v>
      </c>
      <c r="K51" s="85">
        <f>H51*J51</f>
        <v>0</v>
      </c>
      <c r="L51" s="84"/>
      <c r="M51" s="37"/>
      <c r="N51" s="37"/>
      <c r="O51" s="37"/>
      <c r="P51" s="37"/>
      <c r="Q51" s="37"/>
      <c r="R51" s="37"/>
      <c r="S51" s="37"/>
      <c r="T51" s="37"/>
    </row>
    <row r="52" spans="2:20" s="28" customFormat="1" ht="23.25">
      <c r="B52" s="124" t="s">
        <v>1</v>
      </c>
      <c r="C52" s="125"/>
      <c r="D52" s="88">
        <f>SUM(D48:D51)</f>
        <v>0</v>
      </c>
      <c r="E52" s="88">
        <f>SUM(E48:E51)</f>
        <v>0</v>
      </c>
      <c r="F52" s="89"/>
      <c r="G52" s="89"/>
      <c r="H52" s="90">
        <f>SUM(H48:H51)</f>
        <v>300</v>
      </c>
      <c r="I52" s="90">
        <f>SUM(I48:I51)</f>
        <v>300</v>
      </c>
      <c r="J52" s="91"/>
      <c r="K52" s="92">
        <f>SUM(K48:K51)</f>
        <v>750</v>
      </c>
      <c r="L52" s="93">
        <f>SUM(L48:L51)</f>
        <v>29250</v>
      </c>
      <c r="M52" s="37"/>
      <c r="N52" s="37"/>
      <c r="O52" s="37"/>
      <c r="P52" s="37"/>
      <c r="Q52" s="37"/>
      <c r="R52" s="37"/>
      <c r="S52" s="37"/>
      <c r="T52" s="37"/>
    </row>
    <row r="53" spans="2:20" s="28" customFormat="1" ht="23.25" customHeight="1">
      <c r="B53" s="37"/>
      <c r="C53" s="37"/>
      <c r="D53" s="57"/>
      <c r="E53" s="58"/>
      <c r="F53" s="59"/>
      <c r="G53" s="59"/>
      <c r="H53" s="60"/>
      <c r="I53" s="61"/>
      <c r="J53" s="37"/>
      <c r="K53" s="95"/>
      <c r="L53" s="96"/>
      <c r="M53" s="37"/>
      <c r="N53" s="37"/>
      <c r="O53" s="37"/>
      <c r="P53" s="37"/>
      <c r="Q53" s="37"/>
      <c r="R53" s="37"/>
      <c r="S53" s="37"/>
      <c r="T53" s="37"/>
    </row>
    <row r="54" spans="2:20" s="28" customFormat="1" ht="23.25">
      <c r="B54" s="64">
        <v>23621</v>
      </c>
      <c r="C54" s="65" t="s">
        <v>49</v>
      </c>
      <c r="D54" s="66"/>
      <c r="E54" s="66"/>
      <c r="F54" s="67"/>
      <c r="G54" s="67"/>
      <c r="H54" s="68">
        <v>100</v>
      </c>
      <c r="I54" s="69">
        <f>SUM(F54:H54)</f>
        <v>100</v>
      </c>
      <c r="J54" s="70">
        <v>2.5</v>
      </c>
      <c r="K54" s="71">
        <f>H54*J54</f>
        <v>250</v>
      </c>
      <c r="L54" s="72">
        <f>"90"*I54</f>
        <v>9000</v>
      </c>
      <c r="M54" s="37"/>
      <c r="N54" s="37"/>
      <c r="O54" s="37"/>
      <c r="P54" s="37"/>
      <c r="Q54" s="37"/>
      <c r="R54" s="37"/>
      <c r="S54" s="37"/>
      <c r="T54" s="37"/>
    </row>
    <row r="55" spans="2:20" s="28" customFormat="1" ht="23.25">
      <c r="B55" s="73"/>
      <c r="C55" s="74" t="s">
        <v>50</v>
      </c>
      <c r="D55" s="75"/>
      <c r="E55" s="75"/>
      <c r="F55" s="76"/>
      <c r="G55" s="76"/>
      <c r="H55" s="77">
        <v>100</v>
      </c>
      <c r="I55" s="78">
        <f>SUM(F55:H55)</f>
        <v>100</v>
      </c>
      <c r="J55" s="79">
        <v>2.5</v>
      </c>
      <c r="K55" s="80">
        <f>H55*J55</f>
        <v>250</v>
      </c>
      <c r="L55" s="81">
        <f>"105"*I55</f>
        <v>10500</v>
      </c>
      <c r="M55" s="37"/>
      <c r="N55" s="37"/>
      <c r="O55" s="37"/>
      <c r="P55" s="37"/>
      <c r="Q55" s="37"/>
      <c r="R55" s="37"/>
      <c r="S55" s="37"/>
      <c r="T55" s="37"/>
    </row>
    <row r="56" spans="2:20" s="28" customFormat="1" ht="23.25">
      <c r="B56" s="73"/>
      <c r="C56" s="82" t="s">
        <v>51</v>
      </c>
      <c r="D56" s="75"/>
      <c r="E56" s="75"/>
      <c r="F56" s="76"/>
      <c r="G56" s="76"/>
      <c r="H56" s="77"/>
      <c r="I56" s="78"/>
      <c r="J56" s="79">
        <v>2.8</v>
      </c>
      <c r="K56" s="80">
        <f>H56*J56</f>
        <v>0</v>
      </c>
      <c r="L56" s="84"/>
      <c r="M56" s="37"/>
      <c r="N56" s="37"/>
      <c r="O56" s="37"/>
      <c r="P56" s="37"/>
      <c r="Q56" s="37"/>
      <c r="R56" s="37"/>
      <c r="S56" s="37"/>
      <c r="T56" s="37"/>
    </row>
    <row r="57" spans="2:20" s="28" customFormat="1" ht="23.25">
      <c r="B57" s="73"/>
      <c r="C57" s="82" t="s">
        <v>52</v>
      </c>
      <c r="D57" s="75"/>
      <c r="E57" s="75"/>
      <c r="F57" s="76"/>
      <c r="G57" s="76"/>
      <c r="H57" s="77"/>
      <c r="I57" s="78"/>
      <c r="J57" s="79">
        <v>2.8</v>
      </c>
      <c r="K57" s="85">
        <f>H57*J57</f>
        <v>0</v>
      </c>
      <c r="L57" s="84"/>
      <c r="M57" s="37"/>
      <c r="N57" s="37"/>
      <c r="O57" s="37"/>
      <c r="P57" s="37"/>
      <c r="Q57" s="37"/>
      <c r="R57" s="37"/>
      <c r="S57" s="37"/>
      <c r="T57" s="37"/>
    </row>
    <row r="58" spans="2:20" s="28" customFormat="1" ht="23.25">
      <c r="B58" s="124" t="s">
        <v>1</v>
      </c>
      <c r="C58" s="125"/>
      <c r="D58" s="88">
        <f>SUM(D54:D57)</f>
        <v>0</v>
      </c>
      <c r="E58" s="88">
        <f>SUM(E54:E57)</f>
        <v>0</v>
      </c>
      <c r="F58" s="89"/>
      <c r="G58" s="89"/>
      <c r="H58" s="90">
        <f>SUM(H54:H57)</f>
        <v>200</v>
      </c>
      <c r="I58" s="90">
        <f>SUM(I54:I57)</f>
        <v>200</v>
      </c>
      <c r="J58" s="91"/>
      <c r="K58" s="92">
        <f>SUM(K54:K57)</f>
        <v>500</v>
      </c>
      <c r="L58" s="93">
        <f>SUM(L54:L57)</f>
        <v>19500</v>
      </c>
      <c r="M58" s="37"/>
      <c r="N58" s="37"/>
      <c r="O58" s="37"/>
      <c r="P58" s="37"/>
      <c r="Q58" s="37"/>
      <c r="R58" s="37"/>
      <c r="S58" s="37"/>
      <c r="T58" s="37"/>
    </row>
    <row r="59" spans="2:20" s="28" customFormat="1" ht="26.25" customHeight="1">
      <c r="B59" s="37"/>
      <c r="C59" s="37"/>
      <c r="D59" s="57"/>
      <c r="E59" s="58"/>
      <c r="F59" s="59"/>
      <c r="G59" s="59"/>
      <c r="H59" s="60"/>
      <c r="I59" s="61"/>
      <c r="J59" s="37"/>
      <c r="K59" s="62"/>
      <c r="L59" s="96"/>
      <c r="M59" s="37"/>
      <c r="N59" s="37"/>
      <c r="O59" s="37"/>
      <c r="P59" s="37"/>
      <c r="Q59" s="37"/>
      <c r="R59" s="37"/>
      <c r="S59" s="37"/>
      <c r="T59" s="37"/>
    </row>
    <row r="60" spans="2:20" s="28" customFormat="1" ht="26.25" customHeight="1">
      <c r="B60" s="64">
        <v>24016</v>
      </c>
      <c r="C60" s="65" t="s">
        <v>49</v>
      </c>
      <c r="D60" s="97"/>
      <c r="E60" s="97"/>
      <c r="F60" s="67"/>
      <c r="G60" s="67"/>
      <c r="H60" s="68">
        <v>45</v>
      </c>
      <c r="I60" s="69">
        <f>SUM(F60:H60)</f>
        <v>45</v>
      </c>
      <c r="J60" s="70">
        <v>2.5</v>
      </c>
      <c r="K60" s="71">
        <f>H60*J60</f>
        <v>112.5</v>
      </c>
      <c r="L60" s="72">
        <f>"90"*I60</f>
        <v>4050</v>
      </c>
      <c r="M60" s="37"/>
      <c r="N60" s="98"/>
      <c r="O60" s="37"/>
      <c r="P60" s="37"/>
      <c r="Q60" s="37"/>
      <c r="R60" s="37"/>
      <c r="S60" s="37"/>
      <c r="T60" s="37"/>
    </row>
    <row r="61" spans="2:20" s="28" customFormat="1" ht="26.25" customHeight="1">
      <c r="B61" s="73"/>
      <c r="C61" s="74" t="s">
        <v>50</v>
      </c>
      <c r="D61" s="99"/>
      <c r="E61" s="99"/>
      <c r="F61" s="76"/>
      <c r="G61" s="76"/>
      <c r="H61" s="77">
        <v>61</v>
      </c>
      <c r="I61" s="78">
        <f>SUM(F61:H61)</f>
        <v>61</v>
      </c>
      <c r="J61" s="79">
        <v>2.5</v>
      </c>
      <c r="K61" s="80">
        <f>H61*J61</f>
        <v>152.5</v>
      </c>
      <c r="L61" s="81">
        <f>"105"*I61</f>
        <v>6405</v>
      </c>
      <c r="M61" s="37"/>
      <c r="N61" s="98"/>
      <c r="O61" s="37"/>
      <c r="P61" s="37"/>
      <c r="Q61" s="37"/>
      <c r="R61" s="37"/>
      <c r="S61" s="37"/>
      <c r="T61" s="37"/>
    </row>
    <row r="62" spans="2:20" s="28" customFormat="1" ht="26.25" customHeight="1">
      <c r="B62" s="73"/>
      <c r="C62" s="82" t="s">
        <v>51</v>
      </c>
      <c r="D62" s="99"/>
      <c r="E62" s="99"/>
      <c r="F62" s="76"/>
      <c r="G62" s="76"/>
      <c r="H62" s="77"/>
      <c r="I62" s="78"/>
      <c r="J62" s="79">
        <v>2.8</v>
      </c>
      <c r="K62" s="80">
        <f>H62*J62</f>
        <v>0</v>
      </c>
      <c r="L62" s="84"/>
      <c r="M62" s="37"/>
      <c r="N62" s="37"/>
      <c r="O62" s="37"/>
      <c r="P62" s="37"/>
      <c r="Q62" s="37"/>
      <c r="R62" s="37"/>
      <c r="S62" s="37"/>
      <c r="T62" s="37"/>
    </row>
    <row r="63" spans="2:20" s="28" customFormat="1" ht="26.25" customHeight="1">
      <c r="B63" s="73"/>
      <c r="C63" s="82" t="s">
        <v>52</v>
      </c>
      <c r="D63" s="75"/>
      <c r="E63" s="75"/>
      <c r="F63" s="76"/>
      <c r="G63" s="100"/>
      <c r="H63" s="101"/>
      <c r="I63" s="78"/>
      <c r="J63" s="79">
        <v>2.8</v>
      </c>
      <c r="K63" s="85">
        <f>H63*J63</f>
        <v>0</v>
      </c>
      <c r="L63" s="84"/>
      <c r="M63" s="37"/>
      <c r="N63" s="37"/>
      <c r="O63" s="37"/>
      <c r="P63" s="37"/>
      <c r="Q63" s="37"/>
      <c r="R63" s="37"/>
      <c r="S63" s="37"/>
      <c r="T63" s="37"/>
    </row>
    <row r="64" spans="2:12" ht="26.25" customHeight="1">
      <c r="B64" s="124" t="s">
        <v>1</v>
      </c>
      <c r="C64" s="125"/>
      <c r="D64" s="88">
        <f>SUM(D60:D63)</f>
        <v>0</v>
      </c>
      <c r="E64" s="88">
        <f>SUM(E60:E63)</f>
        <v>0</v>
      </c>
      <c r="F64" s="89"/>
      <c r="G64" s="89"/>
      <c r="H64" s="90">
        <f>SUM(H60:H63)</f>
        <v>106</v>
      </c>
      <c r="I64" s="90">
        <f>SUM(I60:I63)</f>
        <v>106</v>
      </c>
      <c r="J64" s="91"/>
      <c r="K64" s="92">
        <f>SUM(K60:K63)</f>
        <v>265</v>
      </c>
      <c r="L64" s="93">
        <f>SUM(L60:L63)</f>
        <v>10455</v>
      </c>
    </row>
    <row r="65" spans="5:9" ht="26.25" customHeight="1">
      <c r="E65" s="102"/>
      <c r="F65" s="103"/>
      <c r="G65" s="103"/>
      <c r="H65" s="104"/>
      <c r="I65" s="105"/>
    </row>
    <row r="66" spans="2:12" ht="26.25" customHeight="1">
      <c r="B66" s="64">
        <v>24047</v>
      </c>
      <c r="C66" s="65" t="s">
        <v>49</v>
      </c>
      <c r="D66" s="97"/>
      <c r="E66" s="97"/>
      <c r="F66" s="67"/>
      <c r="G66" s="67"/>
      <c r="H66" s="68">
        <f>40+5+30+30+15+20+10+5</f>
        <v>155</v>
      </c>
      <c r="I66" s="69">
        <f>SUM(F66:H66)</f>
        <v>155</v>
      </c>
      <c r="J66" s="70">
        <v>2.5</v>
      </c>
      <c r="K66" s="71">
        <f>H66*J66</f>
        <v>387.5</v>
      </c>
      <c r="L66" s="72">
        <f>"90"*I66</f>
        <v>13950</v>
      </c>
    </row>
    <row r="67" spans="2:12" ht="26.25" customHeight="1">
      <c r="B67" s="73"/>
      <c r="C67" s="74" t="s">
        <v>50</v>
      </c>
      <c r="D67" s="99"/>
      <c r="E67" s="99"/>
      <c r="F67" s="76"/>
      <c r="G67" s="76"/>
      <c r="H67" s="77">
        <f>15+20+21+20+1+15+20+20+20+25+5+5+5</f>
        <v>192</v>
      </c>
      <c r="I67" s="78">
        <f>SUM(F67:H67)</f>
        <v>192</v>
      </c>
      <c r="J67" s="79">
        <v>2.5</v>
      </c>
      <c r="K67" s="80">
        <f>H67*J67</f>
        <v>480</v>
      </c>
      <c r="L67" s="81">
        <f>"105"*I67</f>
        <v>20160</v>
      </c>
    </row>
    <row r="68" spans="2:12" ht="26.25" customHeight="1">
      <c r="B68" s="73"/>
      <c r="C68" s="82" t="s">
        <v>51</v>
      </c>
      <c r="D68" s="99"/>
      <c r="E68" s="99"/>
      <c r="F68" s="76"/>
      <c r="G68" s="76"/>
      <c r="H68" s="77"/>
      <c r="I68" s="78"/>
      <c r="J68" s="79">
        <v>2.8</v>
      </c>
      <c r="K68" s="80">
        <f>H68*J68</f>
        <v>0</v>
      </c>
      <c r="L68" s="84"/>
    </row>
    <row r="69" spans="2:12" ht="26.25" customHeight="1">
      <c r="B69" s="73"/>
      <c r="C69" s="82" t="s">
        <v>52</v>
      </c>
      <c r="D69" s="75"/>
      <c r="E69" s="75"/>
      <c r="F69" s="76"/>
      <c r="G69" s="76"/>
      <c r="H69" s="77"/>
      <c r="I69" s="78"/>
      <c r="J69" s="79">
        <v>2.8</v>
      </c>
      <c r="K69" s="85">
        <f>H69*J69</f>
        <v>0</v>
      </c>
      <c r="L69" s="84"/>
    </row>
    <row r="70" spans="2:12" ht="26.25" customHeight="1">
      <c r="B70" s="124" t="s">
        <v>1</v>
      </c>
      <c r="C70" s="125"/>
      <c r="D70" s="88">
        <f>SUM(D66:D69)</f>
        <v>0</v>
      </c>
      <c r="E70" s="88">
        <f>SUM(E66:E69)</f>
        <v>0</v>
      </c>
      <c r="F70" s="89"/>
      <c r="G70" s="89"/>
      <c r="H70" s="90">
        <f>SUM(H66:H69)</f>
        <v>347</v>
      </c>
      <c r="I70" s="90">
        <f>SUM(I66:I69)</f>
        <v>347</v>
      </c>
      <c r="J70" s="91"/>
      <c r="K70" s="92">
        <f>SUM(K66:K69)</f>
        <v>867.5</v>
      </c>
      <c r="L70" s="93">
        <f>SUM(L66:L69)</f>
        <v>34110</v>
      </c>
    </row>
    <row r="71" spans="5:9" ht="26.25" customHeight="1">
      <c r="E71" s="102"/>
      <c r="F71" s="103"/>
      <c r="G71" s="103"/>
      <c r="H71" s="104"/>
      <c r="I71" s="105"/>
    </row>
    <row r="72" spans="2:12" ht="26.25" customHeight="1">
      <c r="B72" s="64">
        <v>24077</v>
      </c>
      <c r="C72" s="65" t="s">
        <v>49</v>
      </c>
      <c r="D72" s="97"/>
      <c r="E72" s="97"/>
      <c r="F72" s="67"/>
      <c r="G72" s="67"/>
      <c r="H72" s="68">
        <f>10+10</f>
        <v>20</v>
      </c>
      <c r="I72" s="69">
        <f>SUM(F72:H72)</f>
        <v>20</v>
      </c>
      <c r="J72" s="70">
        <v>2.5</v>
      </c>
      <c r="K72" s="71">
        <f>H72*J72</f>
        <v>50</v>
      </c>
      <c r="L72" s="72">
        <f>"90"*I72</f>
        <v>1800</v>
      </c>
    </row>
    <row r="73" spans="2:12" ht="26.25" customHeight="1">
      <c r="B73" s="73"/>
      <c r="C73" s="74" t="s">
        <v>50</v>
      </c>
      <c r="D73" s="99"/>
      <c r="E73" s="99"/>
      <c r="F73" s="76"/>
      <c r="G73" s="76"/>
      <c r="H73" s="77">
        <f>10+10+5+3+20+20</f>
        <v>68</v>
      </c>
      <c r="I73" s="78">
        <f>SUM(F73:H73)</f>
        <v>68</v>
      </c>
      <c r="J73" s="79">
        <v>2.5</v>
      </c>
      <c r="K73" s="80">
        <f>H73*J73</f>
        <v>170</v>
      </c>
      <c r="L73" s="81">
        <f>"105"*I73</f>
        <v>7140</v>
      </c>
    </row>
    <row r="74" spans="2:12" ht="26.25" customHeight="1">
      <c r="B74" s="73"/>
      <c r="C74" s="82" t="s">
        <v>51</v>
      </c>
      <c r="D74" s="99"/>
      <c r="E74" s="99"/>
      <c r="F74" s="76"/>
      <c r="G74" s="76"/>
      <c r="H74" s="77"/>
      <c r="I74" s="78"/>
      <c r="J74" s="79">
        <v>2.8</v>
      </c>
      <c r="K74" s="80">
        <f>H74*J74</f>
        <v>0</v>
      </c>
      <c r="L74" s="84"/>
    </row>
    <row r="75" spans="2:12" ht="26.25" customHeight="1">
      <c r="B75" s="73"/>
      <c r="C75" s="82" t="s">
        <v>52</v>
      </c>
      <c r="D75" s="75"/>
      <c r="E75" s="75"/>
      <c r="F75" s="76"/>
      <c r="G75" s="76"/>
      <c r="H75" s="77"/>
      <c r="I75" s="78"/>
      <c r="J75" s="79">
        <v>2.8</v>
      </c>
      <c r="K75" s="85">
        <f>H75*J75</f>
        <v>0</v>
      </c>
      <c r="L75" s="84"/>
    </row>
    <row r="76" spans="2:12" ht="26.25" customHeight="1">
      <c r="B76" s="124" t="s">
        <v>1</v>
      </c>
      <c r="C76" s="125"/>
      <c r="D76" s="88">
        <f>SUM(D72:D75)</f>
        <v>0</v>
      </c>
      <c r="E76" s="88">
        <f>SUM(E72:E75)</f>
        <v>0</v>
      </c>
      <c r="F76" s="89"/>
      <c r="G76" s="89"/>
      <c r="H76" s="90">
        <f>SUM(H72:H75)</f>
        <v>88</v>
      </c>
      <c r="I76" s="90">
        <f>SUM(I72:I75)</f>
        <v>88</v>
      </c>
      <c r="J76" s="91"/>
      <c r="K76" s="92">
        <f>SUM(K72:K75)</f>
        <v>220</v>
      </c>
      <c r="L76" s="93">
        <f>SUM(L72:L75)</f>
        <v>8940</v>
      </c>
    </row>
    <row r="77" ht="26.25" customHeight="1">
      <c r="I77" s="60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64:C64"/>
    <mergeCell ref="B70:C70"/>
    <mergeCell ref="B76:C76"/>
    <mergeCell ref="B28:C28"/>
    <mergeCell ref="B34:C34"/>
    <mergeCell ref="B40:C40"/>
    <mergeCell ref="B46:C46"/>
    <mergeCell ref="B52:C52"/>
    <mergeCell ref="B58:C5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"/>
  <sheetViews>
    <sheetView tabSelected="1" zoomScale="85" zoomScaleNormal="85" zoomScaleSheetLayoutView="70" zoomScalePageLayoutView="0" workbookViewId="0" topLeftCell="A1">
      <selection activeCell="Q58" sqref="Q58"/>
    </sheetView>
  </sheetViews>
  <sheetFormatPr defaultColWidth="11.421875" defaultRowHeight="21.75" customHeight="1"/>
  <cols>
    <col min="1" max="1" width="9.7109375" style="2" customWidth="1"/>
    <col min="2" max="3" width="11.7109375" style="2" customWidth="1"/>
    <col min="4" max="4" width="11.28125" style="2" hidden="1" customWidth="1"/>
    <col min="5" max="5" width="11.7109375" style="2" customWidth="1"/>
    <col min="6" max="6" width="12.28125" style="2" customWidth="1"/>
    <col min="7" max="8" width="11.7109375" style="2" customWidth="1"/>
    <col min="9" max="9" width="11.7109375" style="2" hidden="1" customWidth="1"/>
    <col min="10" max="13" width="11.7109375" style="2" customWidth="1"/>
    <col min="14" max="20" width="11.421875" style="2" customWidth="1"/>
    <col min="21" max="21" width="12.8515625" style="2" bestFit="1" customWidth="1"/>
    <col min="22" max="16384" width="11.421875" style="2" customWidth="1"/>
  </cols>
  <sheetData>
    <row r="1" spans="1:14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11" t="s">
        <v>3</v>
      </c>
      <c r="N1" s="1"/>
    </row>
    <row r="2" spans="1:14" ht="21.75" customHeight="1">
      <c r="A2" s="128" t="s">
        <v>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"/>
    </row>
    <row r="3" spans="1:12" s="4" customFormat="1" ht="21" customHeight="1">
      <c r="A3" s="7"/>
      <c r="B3" s="126" t="s">
        <v>34</v>
      </c>
      <c r="C3" s="126"/>
      <c r="D3" s="126"/>
      <c r="E3" s="126"/>
      <c r="F3" s="126"/>
      <c r="G3" s="126" t="s">
        <v>35</v>
      </c>
      <c r="H3" s="126"/>
      <c r="I3" s="126"/>
      <c r="J3" s="126"/>
      <c r="K3" s="126"/>
      <c r="L3" s="8"/>
    </row>
    <row r="4" spans="1:21" s="4" customFormat="1" ht="159.75" customHeight="1">
      <c r="A4" s="3" t="s">
        <v>18</v>
      </c>
      <c r="B4" s="3" t="s">
        <v>0</v>
      </c>
      <c r="C4" s="3" t="s">
        <v>55</v>
      </c>
      <c r="D4" s="3" t="s">
        <v>53</v>
      </c>
      <c r="E4" s="3" t="s">
        <v>32</v>
      </c>
      <c r="F4" s="3" t="s">
        <v>57</v>
      </c>
      <c r="G4" s="3" t="s">
        <v>0</v>
      </c>
      <c r="H4" s="3" t="s">
        <v>56</v>
      </c>
      <c r="I4" s="3" t="s">
        <v>54</v>
      </c>
      <c r="J4" s="3" t="s">
        <v>32</v>
      </c>
      <c r="K4" s="3" t="s">
        <v>58</v>
      </c>
      <c r="L4" s="3" t="s">
        <v>59</v>
      </c>
      <c r="M4" s="3" t="s">
        <v>60</v>
      </c>
      <c r="N4" s="3" t="s">
        <v>61</v>
      </c>
      <c r="O4" s="3" t="s">
        <v>65</v>
      </c>
      <c r="P4" s="3" t="s">
        <v>55</v>
      </c>
      <c r="Q4" s="3" t="s">
        <v>56</v>
      </c>
      <c r="T4" s="123" t="s">
        <v>63</v>
      </c>
      <c r="U4" s="123" t="s">
        <v>64</v>
      </c>
    </row>
    <row r="5" spans="1:21" ht="21.75" customHeight="1">
      <c r="A5" s="27" t="s">
        <v>19</v>
      </c>
      <c r="B5" s="9">
        <v>200</v>
      </c>
      <c r="C5" s="116">
        <f>'ชนิดกระดาษะ สนอ.65'!K10</f>
        <v>562.5</v>
      </c>
      <c r="D5" s="106">
        <f>'ชนิดกระดาษะ สนอ.65'!I10</f>
        <v>225</v>
      </c>
      <c r="E5" s="107">
        <f>'ชนิดกระดาษะ สนอ.65'!L10</f>
        <v>22275</v>
      </c>
      <c r="F5" s="108">
        <f>C5/B5</f>
        <v>2.8125</v>
      </c>
      <c r="G5" s="10">
        <v>300</v>
      </c>
      <c r="H5" s="117">
        <f>'ชนิดกระดาษะ สนอ.66'!K10</f>
        <v>975</v>
      </c>
      <c r="I5" s="110">
        <f>'ชนิดกระดาษะ สนอ.66'!I10</f>
        <v>390</v>
      </c>
      <c r="J5" s="107">
        <f>'ชนิดกระดาษะ สนอ.66'!L10</f>
        <v>41410</v>
      </c>
      <c r="K5" s="108">
        <f>H5/G5</f>
        <v>3.25</v>
      </c>
      <c r="L5" s="11">
        <f>(H5-C5)/C5</f>
        <v>0.7333333333333333</v>
      </c>
      <c r="M5" s="12">
        <f>(K5-F5)/F5</f>
        <v>0.15555555555555556</v>
      </c>
      <c r="N5" s="118">
        <f>(C5-(C5*20%))</f>
        <v>450</v>
      </c>
      <c r="O5" s="118">
        <f aca="true" t="shared" si="0" ref="O5:O18">(D5-(D5*20%))</f>
        <v>180</v>
      </c>
      <c r="P5" s="112">
        <f>C18</f>
        <v>5575</v>
      </c>
      <c r="Q5" s="112">
        <f>H18</f>
        <v>5092.5</v>
      </c>
      <c r="T5" s="120">
        <f>F18</f>
        <v>27.875</v>
      </c>
      <c r="U5" s="120">
        <f>K18</f>
        <v>16.974999999999998</v>
      </c>
    </row>
    <row r="6" spans="1:21" ht="21.75" customHeight="1">
      <c r="A6" s="27" t="s">
        <v>20</v>
      </c>
      <c r="B6" s="9">
        <v>200</v>
      </c>
      <c r="C6" s="116">
        <f>'ชนิดกระดาษะ สนอ.65'!K16</f>
        <v>287.5</v>
      </c>
      <c r="D6" s="106">
        <f>'ชนิดกระดาษะ สนอ.65'!I16</f>
        <v>115</v>
      </c>
      <c r="E6" s="107">
        <f>'ชนิดกระดาษะ สนอ.65'!L16</f>
        <v>11025</v>
      </c>
      <c r="F6" s="108">
        <f aca="true" t="shared" si="1" ref="F6:F16">C6/B6</f>
        <v>1.4375</v>
      </c>
      <c r="G6" s="10">
        <v>300</v>
      </c>
      <c r="H6" s="117">
        <f>'ชนิดกระดาษะ สนอ.66'!K16</f>
        <v>387.5</v>
      </c>
      <c r="I6" s="110">
        <f>'ชนิดกระดาษะ สนอ.66'!I16</f>
        <v>155</v>
      </c>
      <c r="J6" s="107">
        <f>'ชนิดกระดาษะ สนอ.66'!L16</f>
        <v>16945</v>
      </c>
      <c r="K6" s="108">
        <f aca="true" t="shared" si="2" ref="K6:K16">H6/G6</f>
        <v>1.2916666666666667</v>
      </c>
      <c r="L6" s="11">
        <f aca="true" t="shared" si="3" ref="L6:L16">(H6-C6)/C6</f>
        <v>0.34782608695652173</v>
      </c>
      <c r="M6" s="12">
        <f aca="true" t="shared" si="4" ref="M6:M18">(K6-F6)/F6</f>
        <v>-0.10144927536231879</v>
      </c>
      <c r="N6" s="118">
        <f aca="true" t="shared" si="5" ref="N6:N18">(C6-(C6*20%))</f>
        <v>230</v>
      </c>
      <c r="O6" s="118">
        <f t="shared" si="0"/>
        <v>92</v>
      </c>
      <c r="P6" s="27" t="s">
        <v>62</v>
      </c>
      <c r="Q6" s="119">
        <f>(Q5-P5)/P5*100</f>
        <v>-8.654708520179371</v>
      </c>
      <c r="T6" s="121" t="s">
        <v>62</v>
      </c>
      <c r="U6" s="122">
        <f>(U5-T5)/T5*100</f>
        <v>-39.10313901345292</v>
      </c>
    </row>
    <row r="7" spans="1:15" ht="21.75" customHeight="1">
      <c r="A7" s="27" t="s">
        <v>21</v>
      </c>
      <c r="B7" s="9">
        <v>200</v>
      </c>
      <c r="C7" s="116">
        <f>'ชนิดกระดาษะ สนอ.65'!K22</f>
        <v>475</v>
      </c>
      <c r="D7" s="106">
        <f>'ชนิดกระดาษะ สนอ.65'!I22</f>
        <v>190</v>
      </c>
      <c r="E7" s="107">
        <f>'ชนิดกระดาษะ สนอ.65'!L22</f>
        <v>18900</v>
      </c>
      <c r="F7" s="108">
        <f t="shared" si="1"/>
        <v>2.375</v>
      </c>
      <c r="G7" s="10">
        <v>300</v>
      </c>
      <c r="H7" s="117">
        <f>'ชนิดกระดาษะ สนอ.66'!K22</f>
        <v>512.5</v>
      </c>
      <c r="I7" s="110">
        <f>'ชนิดกระดาษะ สนอ.66'!I22</f>
        <v>205</v>
      </c>
      <c r="J7" s="107">
        <f>'ชนิดกระดาษะ สนอ.66'!L22</f>
        <v>22375</v>
      </c>
      <c r="K7" s="108">
        <f t="shared" si="2"/>
        <v>1.7083333333333333</v>
      </c>
      <c r="L7" s="11">
        <f t="shared" si="3"/>
        <v>0.07894736842105263</v>
      </c>
      <c r="M7" s="12">
        <f t="shared" si="4"/>
        <v>-0.28070175438596495</v>
      </c>
      <c r="N7" s="118">
        <f t="shared" si="5"/>
        <v>380</v>
      </c>
      <c r="O7" s="118">
        <f t="shared" si="0"/>
        <v>152</v>
      </c>
    </row>
    <row r="8" spans="1:15" ht="21.75" customHeight="1">
      <c r="A8" s="27" t="s">
        <v>22</v>
      </c>
      <c r="B8" s="9">
        <v>200</v>
      </c>
      <c r="C8" s="116">
        <f>'ชนิดกระดาษะ สนอ.65'!K28</f>
        <v>437.5</v>
      </c>
      <c r="D8" s="106">
        <f>'ชนิดกระดาษะ สนอ.65'!I28</f>
        <v>175</v>
      </c>
      <c r="E8" s="107">
        <f>'ชนิดกระดาษะ สนอ.65'!L28</f>
        <v>17250</v>
      </c>
      <c r="F8" s="108">
        <f t="shared" si="1"/>
        <v>2.1875</v>
      </c>
      <c r="G8" s="10">
        <v>300</v>
      </c>
      <c r="H8" s="117">
        <f>'ชนิดกระดาษะ สนอ.66'!K28</f>
        <v>280</v>
      </c>
      <c r="I8" s="110">
        <f>'ชนิดกระดาษะ สนอ.66'!I28</f>
        <v>112</v>
      </c>
      <c r="J8" s="107">
        <f>'ชนิดกระดาษะ สนอ.66'!L28</f>
        <v>11760</v>
      </c>
      <c r="K8" s="108">
        <f t="shared" si="2"/>
        <v>0.9333333333333333</v>
      </c>
      <c r="L8" s="11">
        <f t="shared" si="3"/>
        <v>-0.36</v>
      </c>
      <c r="M8" s="12">
        <f t="shared" si="4"/>
        <v>-0.5733333333333334</v>
      </c>
      <c r="N8" s="118">
        <f t="shared" si="5"/>
        <v>350</v>
      </c>
      <c r="O8" s="118">
        <f t="shared" si="0"/>
        <v>140</v>
      </c>
    </row>
    <row r="9" spans="1:15" ht="21.75" customHeight="1">
      <c r="A9" s="27" t="s">
        <v>23</v>
      </c>
      <c r="B9" s="9">
        <v>200</v>
      </c>
      <c r="C9" s="116">
        <f>'ชนิดกระดาษะ สนอ.65'!K34</f>
        <v>430</v>
      </c>
      <c r="D9" s="106">
        <f>'ชนิดกระดาษะ สนอ.65'!I34</f>
        <v>172</v>
      </c>
      <c r="E9" s="107">
        <f>'ชนิดกระดาษะ สนอ.65'!L34</f>
        <v>16995</v>
      </c>
      <c r="F9" s="108">
        <f t="shared" si="1"/>
        <v>2.15</v>
      </c>
      <c r="G9" s="10">
        <v>300</v>
      </c>
      <c r="H9" s="117">
        <f>'ชนิดกระดาษะ สนอ.66'!K34</f>
        <v>347.5</v>
      </c>
      <c r="I9" s="110">
        <f>'ชนิดกระดาษะ สนอ.66'!I34</f>
        <v>139</v>
      </c>
      <c r="J9" s="107">
        <f>'ชนิดกระดาษะ สนอ.66'!L34</f>
        <v>13620</v>
      </c>
      <c r="K9" s="108">
        <f t="shared" si="2"/>
        <v>1.1583333333333334</v>
      </c>
      <c r="L9" s="11">
        <f t="shared" si="3"/>
        <v>-0.19186046511627908</v>
      </c>
      <c r="M9" s="12">
        <f t="shared" si="4"/>
        <v>-0.4612403100775193</v>
      </c>
      <c r="N9" s="118">
        <f t="shared" si="5"/>
        <v>344</v>
      </c>
      <c r="O9" s="118">
        <f t="shared" si="0"/>
        <v>137.6</v>
      </c>
    </row>
    <row r="10" spans="1:15" ht="21.75" customHeight="1">
      <c r="A10" s="27" t="s">
        <v>24</v>
      </c>
      <c r="B10" s="9">
        <v>200</v>
      </c>
      <c r="C10" s="116">
        <f>'ชนิดกระดาษะ สนอ.65'!K40</f>
        <v>280</v>
      </c>
      <c r="D10" s="106">
        <f>'ชนิดกระดาษะ สนอ.65'!I40</f>
        <v>112</v>
      </c>
      <c r="E10" s="107">
        <f>'ชนิดกระดาษะ สนอ.65'!L40</f>
        <v>11010</v>
      </c>
      <c r="F10" s="108">
        <f t="shared" si="1"/>
        <v>1.4</v>
      </c>
      <c r="G10" s="10">
        <v>300</v>
      </c>
      <c r="H10" s="117">
        <f>'ชนิดกระดาษะ สนอ.66'!K40</f>
        <v>0</v>
      </c>
      <c r="I10" s="110">
        <f>'ชนิดกระดาษะ สนอ.66'!I40</f>
        <v>0</v>
      </c>
      <c r="J10" s="107">
        <f>'ชนิดกระดาษะ สนอ.66'!L40</f>
        <v>0</v>
      </c>
      <c r="K10" s="108">
        <f t="shared" si="2"/>
        <v>0</v>
      </c>
      <c r="L10" s="11">
        <f t="shared" si="3"/>
        <v>-1</v>
      </c>
      <c r="M10" s="12">
        <f t="shared" si="4"/>
        <v>-1</v>
      </c>
      <c r="N10" s="118">
        <f t="shared" si="5"/>
        <v>224</v>
      </c>
      <c r="O10" s="118">
        <f t="shared" si="0"/>
        <v>89.6</v>
      </c>
    </row>
    <row r="11" spans="1:15" ht="21.75" customHeight="1">
      <c r="A11" s="27" t="s">
        <v>25</v>
      </c>
      <c r="B11" s="9">
        <v>200</v>
      </c>
      <c r="C11" s="116">
        <f>'ชนิดกระดาษะ สนอ.65'!K46</f>
        <v>500</v>
      </c>
      <c r="D11" s="106">
        <f>'ชนิดกระดาษะ สนอ.65'!I46</f>
        <v>200</v>
      </c>
      <c r="E11" s="107">
        <f>'ชนิดกระดาษะ สนอ.65'!L46</f>
        <v>19350</v>
      </c>
      <c r="F11" s="108">
        <f t="shared" si="1"/>
        <v>2.5</v>
      </c>
      <c r="G11" s="10">
        <v>300</v>
      </c>
      <c r="H11" s="117">
        <f>'ชนิดกระดาษะ สนอ.66'!K46</f>
        <v>387.5</v>
      </c>
      <c r="I11" s="110">
        <f>'ชนิดกระดาษะ สนอ.66'!I46</f>
        <v>155</v>
      </c>
      <c r="J11" s="107">
        <f>'ชนิดกระดาษะ สนอ.66'!L46</f>
        <v>15075</v>
      </c>
      <c r="K11" s="108">
        <f t="shared" si="2"/>
        <v>1.2916666666666667</v>
      </c>
      <c r="L11" s="11">
        <f t="shared" si="3"/>
        <v>-0.225</v>
      </c>
      <c r="M11" s="12">
        <f t="shared" si="4"/>
        <v>-0.4833333333333333</v>
      </c>
      <c r="N11" s="118">
        <f t="shared" si="5"/>
        <v>400</v>
      </c>
      <c r="O11" s="118">
        <f t="shared" si="0"/>
        <v>160</v>
      </c>
    </row>
    <row r="12" spans="1:15" ht="21.75" customHeight="1">
      <c r="A12" s="27" t="s">
        <v>26</v>
      </c>
      <c r="B12" s="9">
        <v>200</v>
      </c>
      <c r="C12" s="116">
        <f>'ชนิดกระดาษะ สนอ.65'!K52</f>
        <v>750</v>
      </c>
      <c r="D12" s="106">
        <f>'ชนิดกระดาษะ สนอ.65'!I52</f>
        <v>300</v>
      </c>
      <c r="E12" s="107">
        <f>'ชนิดกระดาษะ สนอ.65'!L52</f>
        <v>29250</v>
      </c>
      <c r="F12" s="108">
        <f t="shared" si="1"/>
        <v>3.75</v>
      </c>
      <c r="G12" s="10">
        <v>300</v>
      </c>
      <c r="H12" s="117">
        <f>'ชนิดกระดาษะ สนอ.66'!K52</f>
        <v>482.5</v>
      </c>
      <c r="I12" s="110">
        <f>'ชนิดกระดาษะ สนอ.66'!I52</f>
        <v>193</v>
      </c>
      <c r="J12" s="107">
        <f>'ชนิดกระดาษะ สนอ.66'!L52</f>
        <v>19140</v>
      </c>
      <c r="K12" s="108">
        <f t="shared" si="2"/>
        <v>1.6083333333333334</v>
      </c>
      <c r="L12" s="11">
        <f t="shared" si="3"/>
        <v>-0.3566666666666667</v>
      </c>
      <c r="M12" s="12">
        <f t="shared" si="4"/>
        <v>-0.5711111111111111</v>
      </c>
      <c r="N12" s="118">
        <f t="shared" si="5"/>
        <v>600</v>
      </c>
      <c r="O12" s="118">
        <f t="shared" si="0"/>
        <v>240</v>
      </c>
    </row>
    <row r="13" spans="1:15" ht="21.75" customHeight="1">
      <c r="A13" s="27" t="s">
        <v>27</v>
      </c>
      <c r="B13" s="9">
        <v>200</v>
      </c>
      <c r="C13" s="116">
        <f>'ชนิดกระดาษะ สนอ.65'!K58</f>
        <v>500</v>
      </c>
      <c r="D13" s="106">
        <f>'ชนิดกระดาษะ สนอ.65'!I58</f>
        <v>200</v>
      </c>
      <c r="E13" s="107">
        <f>'ชนิดกระดาษะ สนอ.65'!L58</f>
        <v>19500</v>
      </c>
      <c r="F13" s="108">
        <f t="shared" si="1"/>
        <v>2.5</v>
      </c>
      <c r="G13" s="10">
        <v>300</v>
      </c>
      <c r="H13" s="117">
        <f>'ชนิดกระดาษะ สนอ.66'!K58</f>
        <v>280</v>
      </c>
      <c r="I13" s="110">
        <f>'ชนิดกระดาษะ สนอ.66'!I58</f>
        <v>112</v>
      </c>
      <c r="J13" s="107">
        <f>'ชนิดกระดาษะ สนอ.66'!L58</f>
        <v>10935</v>
      </c>
      <c r="K13" s="108">
        <f t="shared" si="2"/>
        <v>0.9333333333333333</v>
      </c>
      <c r="L13" s="11">
        <f t="shared" si="3"/>
        <v>-0.44</v>
      </c>
      <c r="M13" s="12">
        <f t="shared" si="4"/>
        <v>-0.6266666666666667</v>
      </c>
      <c r="N13" s="118">
        <f t="shared" si="5"/>
        <v>400</v>
      </c>
      <c r="O13" s="118">
        <f t="shared" si="0"/>
        <v>160</v>
      </c>
    </row>
    <row r="14" spans="1:15" ht="21.75" customHeight="1">
      <c r="A14" s="27" t="s">
        <v>28</v>
      </c>
      <c r="B14" s="9">
        <v>200</v>
      </c>
      <c r="C14" s="116">
        <f>'ชนิดกระดาษะ สนอ.65'!K64</f>
        <v>265</v>
      </c>
      <c r="D14" s="106">
        <f>'ชนิดกระดาษะ สนอ.65'!I64</f>
        <v>106</v>
      </c>
      <c r="E14" s="107">
        <f>'ชนิดกระดาษะ สนอ.65'!L64</f>
        <v>10455</v>
      </c>
      <c r="F14" s="108">
        <f t="shared" si="1"/>
        <v>1.325</v>
      </c>
      <c r="G14" s="10">
        <v>300</v>
      </c>
      <c r="H14" s="117">
        <f>'ชนิดกระดาษะ สนอ.66'!K64</f>
        <v>360</v>
      </c>
      <c r="I14" s="110">
        <f>'ชนิดกระดาษะ สนอ.66'!I64</f>
        <v>144</v>
      </c>
      <c r="J14" s="107">
        <f>'ชนิดกระดาษะ สนอ.66'!L64</f>
        <v>14145</v>
      </c>
      <c r="K14" s="108">
        <f t="shared" si="2"/>
        <v>1.2</v>
      </c>
      <c r="L14" s="11">
        <f t="shared" si="3"/>
        <v>0.3584905660377358</v>
      </c>
      <c r="M14" s="12">
        <f t="shared" si="4"/>
        <v>-0.09433962264150944</v>
      </c>
      <c r="N14" s="118">
        <f t="shared" si="5"/>
        <v>212</v>
      </c>
      <c r="O14" s="118">
        <f t="shared" si="0"/>
        <v>84.8</v>
      </c>
    </row>
    <row r="15" spans="1:15" ht="21.75" customHeight="1">
      <c r="A15" s="27" t="s">
        <v>29</v>
      </c>
      <c r="B15" s="9">
        <v>200</v>
      </c>
      <c r="C15" s="116">
        <f>'ชนิดกระดาษะ สนอ.65'!K70</f>
        <v>867.5</v>
      </c>
      <c r="D15" s="106">
        <f>'ชนิดกระดาษะ สนอ.65'!I70</f>
        <v>347</v>
      </c>
      <c r="E15" s="107">
        <f>'ชนิดกระดาษะ สนอ.65'!L70</f>
        <v>34110</v>
      </c>
      <c r="F15" s="108">
        <f t="shared" si="1"/>
        <v>4.3375</v>
      </c>
      <c r="G15" s="10">
        <v>300</v>
      </c>
      <c r="H15" s="117">
        <f>'ชนิดกระดาษะ สนอ.66'!K70</f>
        <v>605</v>
      </c>
      <c r="I15" s="110">
        <f>'ชนิดกระดาษะ สนอ.66'!I70</f>
        <v>242</v>
      </c>
      <c r="J15" s="107">
        <f>'ชนิดกระดาษะ สนอ.66'!L70</f>
        <v>23835</v>
      </c>
      <c r="K15" s="108">
        <f t="shared" si="2"/>
        <v>2.0166666666666666</v>
      </c>
      <c r="L15" s="11">
        <f t="shared" si="3"/>
        <v>-0.3025936599423631</v>
      </c>
      <c r="M15" s="12">
        <f t="shared" si="4"/>
        <v>-0.5350624399615754</v>
      </c>
      <c r="N15" s="118">
        <f t="shared" si="5"/>
        <v>694</v>
      </c>
      <c r="O15" s="118">
        <f t="shared" si="0"/>
        <v>277.6</v>
      </c>
    </row>
    <row r="16" spans="1:15" ht="21.75" customHeight="1">
      <c r="A16" s="27" t="s">
        <v>30</v>
      </c>
      <c r="B16" s="9">
        <v>200</v>
      </c>
      <c r="C16" s="116">
        <f>'ชนิดกระดาษะ สนอ.65'!K76</f>
        <v>220</v>
      </c>
      <c r="D16" s="106">
        <f>'ชนิดกระดาษะ สนอ.65'!I76</f>
        <v>88</v>
      </c>
      <c r="E16" s="107">
        <f>'ชนิดกระดาษะ สนอ.65'!L76</f>
        <v>8940</v>
      </c>
      <c r="F16" s="108">
        <f t="shared" si="1"/>
        <v>1.1</v>
      </c>
      <c r="G16" s="10">
        <v>300</v>
      </c>
      <c r="H16" s="117">
        <f>'ชนิดกระดาษะ สนอ.66'!K76</f>
        <v>475</v>
      </c>
      <c r="I16" s="110">
        <f>'ชนิดกระดาษะ สนอ.66'!I76</f>
        <v>190</v>
      </c>
      <c r="J16" s="107">
        <f>'ชนิดกระดาษะ สนอ.66'!L76</f>
        <v>18450</v>
      </c>
      <c r="K16" s="108">
        <f t="shared" si="2"/>
        <v>1.5833333333333333</v>
      </c>
      <c r="L16" s="11">
        <f t="shared" si="3"/>
        <v>1.1590909090909092</v>
      </c>
      <c r="M16" s="12">
        <f t="shared" si="4"/>
        <v>0.4393939393939392</v>
      </c>
      <c r="N16" s="118">
        <f t="shared" si="5"/>
        <v>176</v>
      </c>
      <c r="O16" s="118">
        <f t="shared" si="0"/>
        <v>70.4</v>
      </c>
    </row>
    <row r="17" spans="1:15" ht="21.75" customHeight="1">
      <c r="A17" s="27" t="s">
        <v>2</v>
      </c>
      <c r="B17" s="107">
        <f aca="true" t="shared" si="6" ref="B17:J17">AVERAGE(B5:B16)</f>
        <v>200</v>
      </c>
      <c r="C17" s="107">
        <f>AVERAGE(C5:C16)</f>
        <v>464.5833333333333</v>
      </c>
      <c r="D17" s="107">
        <f t="shared" si="6"/>
        <v>185.83333333333334</v>
      </c>
      <c r="E17" s="107">
        <f t="shared" si="6"/>
        <v>18255</v>
      </c>
      <c r="F17" s="107">
        <f t="shared" si="6"/>
        <v>2.3229166666666665</v>
      </c>
      <c r="G17" s="107">
        <f t="shared" si="6"/>
        <v>300</v>
      </c>
      <c r="H17" s="107">
        <f>AVERAGE(H5:H16)</f>
        <v>424.375</v>
      </c>
      <c r="I17" s="107">
        <f t="shared" si="6"/>
        <v>169.75</v>
      </c>
      <c r="J17" s="107">
        <f t="shared" si="6"/>
        <v>17307.5</v>
      </c>
      <c r="K17" s="108">
        <f>I17/G17</f>
        <v>0.5658333333333333</v>
      </c>
      <c r="L17" s="11">
        <f>(H17-C17)/C17</f>
        <v>-0.08654708520179369</v>
      </c>
      <c r="M17" s="12">
        <f>(K17-F17)/F17</f>
        <v>-0.7564125560538116</v>
      </c>
      <c r="N17" s="118">
        <f t="shared" si="5"/>
        <v>371.66666666666663</v>
      </c>
      <c r="O17" s="118">
        <f t="shared" si="0"/>
        <v>148.66666666666669</v>
      </c>
    </row>
    <row r="18" spans="1:15" ht="21.75" customHeight="1">
      <c r="A18" s="27" t="s">
        <v>1</v>
      </c>
      <c r="B18" s="107">
        <f aca="true" t="shared" si="7" ref="B18:K18">SUM(B5:B16)</f>
        <v>2400</v>
      </c>
      <c r="C18" s="107">
        <f>SUM(C5:C16)</f>
        <v>5575</v>
      </c>
      <c r="D18" s="107">
        <f t="shared" si="7"/>
        <v>2230</v>
      </c>
      <c r="E18" s="107">
        <f t="shared" si="7"/>
        <v>219060</v>
      </c>
      <c r="F18" s="107">
        <f t="shared" si="7"/>
        <v>27.875</v>
      </c>
      <c r="G18" s="107">
        <f t="shared" si="7"/>
        <v>3600</v>
      </c>
      <c r="H18" s="107">
        <f>SUM(H5:H16)</f>
        <v>5092.5</v>
      </c>
      <c r="I18" s="107">
        <f t="shared" si="7"/>
        <v>2037</v>
      </c>
      <c r="J18" s="107">
        <f t="shared" si="7"/>
        <v>207690</v>
      </c>
      <c r="K18" s="108">
        <f t="shared" si="7"/>
        <v>16.974999999999998</v>
      </c>
      <c r="L18" s="11">
        <f>(H18-C18)/C18</f>
        <v>-0.08654708520179372</v>
      </c>
      <c r="M18" s="12">
        <f t="shared" si="4"/>
        <v>-0.3910313901345292</v>
      </c>
      <c r="N18" s="118">
        <f t="shared" si="5"/>
        <v>4460</v>
      </c>
      <c r="O18" s="118">
        <f t="shared" si="0"/>
        <v>1784</v>
      </c>
    </row>
    <row r="19" spans="1:13" ht="21.75" customHeight="1">
      <c r="A19" s="113"/>
      <c r="B19" s="5"/>
      <c r="C19" s="5"/>
      <c r="D19" s="5"/>
      <c r="E19" s="5"/>
      <c r="F19" s="5"/>
      <c r="G19" s="5"/>
      <c r="H19" s="5"/>
      <c r="I19" s="5"/>
      <c r="J19" s="5"/>
      <c r="K19" s="114"/>
      <c r="L19" s="115"/>
      <c r="M19" s="115"/>
    </row>
    <row r="20" spans="1:13" ht="21.75" customHeight="1">
      <c r="A20" s="113"/>
      <c r="B20" s="5"/>
      <c r="C20" s="5"/>
      <c r="D20" s="5"/>
      <c r="E20" s="5"/>
      <c r="F20" s="5"/>
      <c r="G20" s="5"/>
      <c r="H20" s="5"/>
      <c r="I20" s="5"/>
      <c r="J20" s="5"/>
      <c r="K20" s="114"/>
      <c r="L20" s="115"/>
      <c r="M20" s="115"/>
    </row>
    <row r="21" spans="1:13" ht="21.7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</row>
    <row r="22" spans="1:13" ht="21.75" customHeight="1">
      <c r="A22" s="2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13" ht="21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88" spans="1:13" ht="24" customHeight="1">
      <c r="A88" s="127" t="s">
        <v>31</v>
      </c>
      <c r="B88" s="127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</row>
    <row r="89" spans="1:19" ht="9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O89" s="13"/>
      <c r="S89" s="13"/>
    </row>
    <row r="90" spans="1:13" s="13" customFormat="1" ht="30" customHeight="1">
      <c r="A90" s="23" t="s">
        <v>4</v>
      </c>
      <c r="B90" s="20"/>
      <c r="C90" s="20"/>
      <c r="D90" s="21"/>
      <c r="E90" s="16"/>
      <c r="F90" s="16"/>
      <c r="G90" s="16"/>
      <c r="H90" s="16"/>
      <c r="I90" s="16"/>
      <c r="J90" s="16"/>
      <c r="K90" s="16"/>
      <c r="L90" s="16"/>
      <c r="M90" s="16"/>
    </row>
    <row r="91" spans="1:13" s="13" customFormat="1" ht="30" customHeight="1">
      <c r="A91" s="14" t="s">
        <v>16</v>
      </c>
      <c r="B91" s="14"/>
      <c r="C91" s="14"/>
      <c r="D91" s="15"/>
      <c r="E91" s="16"/>
      <c r="F91" s="16"/>
      <c r="G91" s="16"/>
      <c r="H91" s="16"/>
      <c r="I91" s="16"/>
      <c r="J91" s="16"/>
      <c r="K91" s="16"/>
      <c r="L91" s="16"/>
      <c r="M91" s="16"/>
    </row>
    <row r="92" spans="1:13" s="13" customFormat="1" ht="30" customHeight="1">
      <c r="A92" s="20" t="s">
        <v>17</v>
      </c>
      <c r="B92" s="22"/>
      <c r="C92" s="22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1:4" s="13" customFormat="1" ht="30" customHeight="1">
      <c r="A93" s="24" t="s">
        <v>5</v>
      </c>
      <c r="B93" s="17"/>
      <c r="C93" s="17"/>
      <c r="D93" s="17"/>
    </row>
    <row r="94" spans="1:4" s="13" customFormat="1" ht="30" customHeight="1">
      <c r="A94" s="18" t="s">
        <v>16</v>
      </c>
      <c r="B94" s="18"/>
      <c r="C94" s="18"/>
      <c r="D94" s="19"/>
    </row>
    <row r="95" spans="1:3" s="13" customFormat="1" ht="30" customHeight="1">
      <c r="A95" s="17" t="s">
        <v>17</v>
      </c>
      <c r="B95" s="4"/>
      <c r="C95" s="4"/>
    </row>
    <row r="96" spans="1:4" s="13" customFormat="1" ht="30" customHeight="1">
      <c r="A96" s="24" t="s">
        <v>6</v>
      </c>
      <c r="B96" s="17"/>
      <c r="C96" s="17"/>
      <c r="D96" s="17"/>
    </row>
    <row r="97" spans="1:4" s="13" customFormat="1" ht="30" customHeight="1">
      <c r="A97" s="18" t="s">
        <v>16</v>
      </c>
      <c r="B97" s="18"/>
      <c r="C97" s="18"/>
      <c r="D97" s="19"/>
    </row>
    <row r="98" spans="1:3" s="13" customFormat="1" ht="30" customHeight="1">
      <c r="A98" s="17" t="s">
        <v>17</v>
      </c>
      <c r="B98" s="4"/>
      <c r="C98" s="4"/>
    </row>
    <row r="99" spans="1:4" s="13" customFormat="1" ht="30" customHeight="1">
      <c r="A99" s="24" t="s">
        <v>7</v>
      </c>
      <c r="B99" s="17"/>
      <c r="C99" s="17"/>
      <c r="D99" s="17"/>
    </row>
    <row r="100" spans="1:4" s="13" customFormat="1" ht="30" customHeight="1">
      <c r="A100" s="18" t="s">
        <v>16</v>
      </c>
      <c r="B100" s="18"/>
      <c r="C100" s="18"/>
      <c r="D100" s="19"/>
    </row>
    <row r="101" spans="1:3" s="13" customFormat="1" ht="30" customHeight="1">
      <c r="A101" s="17" t="s">
        <v>17</v>
      </c>
      <c r="B101" s="4"/>
      <c r="C101" s="4"/>
    </row>
    <row r="102" spans="1:4" s="13" customFormat="1" ht="30" customHeight="1">
      <c r="A102" s="24" t="s">
        <v>8</v>
      </c>
      <c r="B102" s="17"/>
      <c r="C102" s="17"/>
      <c r="D102" s="17"/>
    </row>
    <row r="103" spans="1:3" s="13" customFormat="1" ht="30" customHeight="1">
      <c r="A103" s="18" t="s">
        <v>16</v>
      </c>
      <c r="B103" s="4"/>
      <c r="C103" s="4"/>
    </row>
    <row r="104" spans="1:3" s="13" customFormat="1" ht="30" customHeight="1">
      <c r="A104" s="17" t="s">
        <v>17</v>
      </c>
      <c r="B104" s="4"/>
      <c r="C104" s="4"/>
    </row>
    <row r="105" spans="1:4" s="13" customFormat="1" ht="30" customHeight="1">
      <c r="A105" s="24" t="s">
        <v>9</v>
      </c>
      <c r="B105" s="17"/>
      <c r="C105" s="17"/>
      <c r="D105" s="17"/>
    </row>
    <row r="106" spans="1:4" s="13" customFormat="1" ht="30" customHeight="1">
      <c r="A106" s="18" t="s">
        <v>16</v>
      </c>
      <c r="B106" s="18"/>
      <c r="C106" s="18"/>
      <c r="D106" s="19"/>
    </row>
    <row r="107" spans="1:3" s="13" customFormat="1" ht="30" customHeight="1">
      <c r="A107" s="17" t="s">
        <v>17</v>
      </c>
      <c r="B107" s="4"/>
      <c r="C107" s="4"/>
    </row>
    <row r="108" spans="1:4" s="13" customFormat="1" ht="30" customHeight="1">
      <c r="A108" s="24" t="s">
        <v>10</v>
      </c>
      <c r="B108" s="17"/>
      <c r="C108" s="17"/>
      <c r="D108" s="17"/>
    </row>
    <row r="109" spans="1:4" s="13" customFormat="1" ht="30" customHeight="1">
      <c r="A109" s="18" t="s">
        <v>16</v>
      </c>
      <c r="B109" s="18"/>
      <c r="C109" s="18"/>
      <c r="D109" s="19"/>
    </row>
    <row r="110" spans="1:3" s="13" customFormat="1" ht="30" customHeight="1">
      <c r="A110" s="17" t="s">
        <v>17</v>
      </c>
      <c r="B110" s="4"/>
      <c r="C110" s="4"/>
    </row>
    <row r="111" spans="1:4" s="13" customFormat="1" ht="30" customHeight="1">
      <c r="A111" s="24" t="s">
        <v>11</v>
      </c>
      <c r="B111" s="17"/>
      <c r="C111" s="17"/>
      <c r="D111" s="17"/>
    </row>
    <row r="112" spans="1:4" s="13" customFormat="1" ht="30" customHeight="1">
      <c r="A112" s="18" t="s">
        <v>16</v>
      </c>
      <c r="B112" s="18"/>
      <c r="C112" s="18"/>
      <c r="D112" s="19"/>
    </row>
    <row r="113" spans="1:3" s="13" customFormat="1" ht="30" customHeight="1">
      <c r="A113" s="17" t="s">
        <v>17</v>
      </c>
      <c r="B113" s="4"/>
      <c r="C113" s="4"/>
    </row>
    <row r="114" spans="1:4" s="13" customFormat="1" ht="30" customHeight="1">
      <c r="A114" s="24" t="s">
        <v>12</v>
      </c>
      <c r="B114" s="17"/>
      <c r="C114" s="17"/>
      <c r="D114" s="17"/>
    </row>
    <row r="115" spans="1:4" s="13" customFormat="1" ht="30" customHeight="1">
      <c r="A115" s="18" t="s">
        <v>16</v>
      </c>
      <c r="B115" s="18"/>
      <c r="C115" s="18"/>
      <c r="D115" s="19"/>
    </row>
    <row r="116" spans="1:3" s="13" customFormat="1" ht="30" customHeight="1">
      <c r="A116" s="17" t="s">
        <v>17</v>
      </c>
      <c r="B116" s="4"/>
      <c r="C116" s="4"/>
    </row>
    <row r="117" spans="1:4" s="13" customFormat="1" ht="30" customHeight="1">
      <c r="A117" s="24" t="s">
        <v>13</v>
      </c>
      <c r="B117" s="17"/>
      <c r="C117" s="17"/>
      <c r="D117" s="17"/>
    </row>
    <row r="118" spans="1:4" s="13" customFormat="1" ht="30" customHeight="1">
      <c r="A118" s="18" t="s">
        <v>16</v>
      </c>
      <c r="B118" s="18"/>
      <c r="C118" s="18"/>
      <c r="D118" s="19"/>
    </row>
    <row r="119" spans="1:3" s="13" customFormat="1" ht="30" customHeight="1">
      <c r="A119" s="17" t="s">
        <v>17</v>
      </c>
      <c r="B119" s="4"/>
      <c r="C119" s="4"/>
    </row>
    <row r="120" spans="1:4" s="13" customFormat="1" ht="30" customHeight="1">
      <c r="A120" s="24" t="s">
        <v>14</v>
      </c>
      <c r="B120" s="17"/>
      <c r="C120" s="17"/>
      <c r="D120" s="17"/>
    </row>
    <row r="121" spans="1:4" s="13" customFormat="1" ht="30" customHeight="1">
      <c r="A121" s="18" t="s">
        <v>16</v>
      </c>
      <c r="B121" s="18"/>
      <c r="C121" s="18"/>
      <c r="D121" s="19"/>
    </row>
    <row r="122" spans="1:3" s="13" customFormat="1" ht="30" customHeight="1">
      <c r="A122" s="17" t="s">
        <v>17</v>
      </c>
      <c r="B122" s="4"/>
      <c r="C122" s="4"/>
    </row>
    <row r="123" spans="1:4" s="13" customFormat="1" ht="30" customHeight="1">
      <c r="A123" s="24" t="s">
        <v>15</v>
      </c>
      <c r="B123" s="17"/>
      <c r="C123" s="17"/>
      <c r="D123" s="17"/>
    </row>
    <row r="124" spans="1:4" s="13" customFormat="1" ht="30" customHeight="1">
      <c r="A124" s="18" t="s">
        <v>16</v>
      </c>
      <c r="B124" s="18"/>
      <c r="C124" s="18"/>
      <c r="D124" s="19"/>
    </row>
    <row r="125" spans="1:3" s="13" customFormat="1" ht="30" customHeight="1">
      <c r="A125" s="17" t="s">
        <v>17</v>
      </c>
      <c r="B125" s="4"/>
      <c r="C125" s="4"/>
    </row>
    <row r="126" spans="15:19" s="13" customFormat="1" ht="30" customHeight="1">
      <c r="O126" s="2"/>
      <c r="S126" s="2"/>
    </row>
  </sheetData>
  <sheetProtection/>
  <mergeCells count="4">
    <mergeCell ref="B3:F3"/>
    <mergeCell ref="G3:K3"/>
    <mergeCell ref="A88:M88"/>
    <mergeCell ref="A2:M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60" r:id="rId2"/>
  <rowBreaks count="1" manualBreakCount="1">
    <brk id="12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7"/>
  <sheetViews>
    <sheetView showGridLines="0" view="pageBreakPreview" zoomScaleNormal="95" zoomScaleSheetLayoutView="100" zoomScalePageLayoutView="0" workbookViewId="0" topLeftCell="B4">
      <pane ySplit="1956" topLeftCell="A37" activePane="bottomLeft" state="split"/>
      <selection pane="topLeft" activeCell="J4" sqref="J1:J16384"/>
      <selection pane="bottomLeft" activeCell="O74" sqref="O74"/>
    </sheetView>
  </sheetViews>
  <sheetFormatPr defaultColWidth="9.140625" defaultRowHeight="12.75"/>
  <cols>
    <col min="1" max="1" width="8.8515625" style="28" customWidth="1"/>
    <col min="2" max="2" width="10.8515625" style="37" customWidth="1"/>
    <col min="3" max="3" width="12.7109375" style="37" customWidth="1"/>
    <col min="4" max="4" width="7.00390625" style="57" hidden="1" customWidth="1"/>
    <col min="5" max="5" width="8.28125" style="58" hidden="1" customWidth="1"/>
    <col min="6" max="7" width="8.421875" style="59" hidden="1" customWidth="1"/>
    <col min="8" max="8" width="8.421875" style="60" customWidth="1"/>
    <col min="9" max="9" width="8.28125" style="61" customWidth="1"/>
    <col min="10" max="10" width="9.00390625" style="37" customWidth="1"/>
    <col min="11" max="11" width="12.7109375" style="95" customWidth="1"/>
    <col min="12" max="12" width="12.7109375" style="96" customWidth="1"/>
    <col min="13" max="16384" width="8.8515625" style="37" customWidth="1"/>
  </cols>
  <sheetData>
    <row r="1" spans="2:12" ht="26.25">
      <c r="B1" s="29" t="s">
        <v>36</v>
      </c>
      <c r="C1" s="29"/>
      <c r="D1" s="30"/>
      <c r="E1" s="31"/>
      <c r="F1" s="32"/>
      <c r="G1" s="32"/>
      <c r="H1" s="33"/>
      <c r="I1" s="34"/>
      <c r="J1" s="29"/>
      <c r="K1" s="35"/>
      <c r="L1" s="36"/>
    </row>
    <row r="2" spans="2:12" ht="26.25">
      <c r="B2" s="38" t="s">
        <v>37</v>
      </c>
      <c r="C2" s="39"/>
      <c r="D2" s="40"/>
      <c r="E2" s="41"/>
      <c r="F2" s="42"/>
      <c r="G2" s="42"/>
      <c r="H2" s="43"/>
      <c r="I2" s="44"/>
      <c r="J2" s="39"/>
      <c r="K2" s="45"/>
      <c r="L2" s="46"/>
    </row>
    <row r="4" spans="1:12" s="56" customFormat="1" ht="84" customHeight="1">
      <c r="A4" s="47"/>
      <c r="B4" s="48" t="s">
        <v>38</v>
      </c>
      <c r="C4" s="48" t="s">
        <v>39</v>
      </c>
      <c r="D4" s="49" t="s">
        <v>40</v>
      </c>
      <c r="E4" s="50" t="s">
        <v>41</v>
      </c>
      <c r="F4" s="51" t="s">
        <v>42</v>
      </c>
      <c r="G4" s="51" t="s">
        <v>43</v>
      </c>
      <c r="H4" s="52" t="s">
        <v>44</v>
      </c>
      <c r="I4" s="53" t="s">
        <v>45</v>
      </c>
      <c r="J4" s="48" t="s">
        <v>46</v>
      </c>
      <c r="K4" s="54" t="s">
        <v>47</v>
      </c>
      <c r="L4" s="55" t="s">
        <v>48</v>
      </c>
    </row>
    <row r="5" spans="2:20" s="28" customFormat="1" ht="23.25" customHeight="1">
      <c r="B5" s="37"/>
      <c r="C5" s="37"/>
      <c r="D5" s="57"/>
      <c r="E5" s="58"/>
      <c r="F5" s="59"/>
      <c r="G5" s="59"/>
      <c r="H5" s="60"/>
      <c r="I5" s="61"/>
      <c r="J5" s="37"/>
      <c r="K5" s="62"/>
      <c r="L5" s="63"/>
      <c r="M5" s="37"/>
      <c r="N5" s="37"/>
      <c r="O5" s="37"/>
      <c r="P5" s="37"/>
      <c r="Q5" s="37"/>
      <c r="R5" s="37"/>
      <c r="S5" s="37"/>
      <c r="T5" s="37"/>
    </row>
    <row r="6" spans="2:20" s="28" customFormat="1" ht="23.25">
      <c r="B6" s="64">
        <v>24108</v>
      </c>
      <c r="C6" s="65" t="s">
        <v>49</v>
      </c>
      <c r="D6" s="66"/>
      <c r="E6" s="66"/>
      <c r="F6" s="67"/>
      <c r="G6" s="67"/>
      <c r="H6" s="68">
        <f>100+20+20+15+30+30</f>
        <v>215</v>
      </c>
      <c r="I6" s="109">
        <f>H6</f>
        <v>215</v>
      </c>
      <c r="J6" s="70">
        <v>2.5</v>
      </c>
      <c r="K6" s="71">
        <f>H6*J6</f>
        <v>537.5</v>
      </c>
      <c r="L6" s="72">
        <f>"99"*I6</f>
        <v>21285</v>
      </c>
      <c r="M6" s="37"/>
      <c r="N6" s="37"/>
      <c r="O6" s="37"/>
      <c r="P6" s="37"/>
      <c r="Q6" s="37"/>
      <c r="R6" s="37"/>
      <c r="S6" s="37"/>
      <c r="T6" s="37"/>
    </row>
    <row r="7" spans="2:20" s="28" customFormat="1" ht="23.25">
      <c r="B7" s="73"/>
      <c r="C7" s="74" t="s">
        <v>50</v>
      </c>
      <c r="D7" s="75"/>
      <c r="E7" s="75"/>
      <c r="F7" s="76"/>
      <c r="G7" s="76"/>
      <c r="H7" s="77">
        <f>5+10+25+10+75+5+15+30</f>
        <v>175</v>
      </c>
      <c r="I7" s="78">
        <f>H7</f>
        <v>175</v>
      </c>
      <c r="J7" s="79">
        <v>2.5</v>
      </c>
      <c r="K7" s="80">
        <f>H7*J7</f>
        <v>437.5</v>
      </c>
      <c r="L7" s="81">
        <f>"115"*I7</f>
        <v>20125</v>
      </c>
      <c r="M7" s="37"/>
      <c r="N7" s="37"/>
      <c r="O7" s="37"/>
      <c r="P7" s="37"/>
      <c r="Q7" s="37"/>
      <c r="R7" s="37"/>
      <c r="S7" s="37"/>
      <c r="T7" s="37"/>
    </row>
    <row r="8" spans="2:20" s="28" customFormat="1" ht="23.25">
      <c r="B8" s="73"/>
      <c r="C8" s="82" t="s">
        <v>51</v>
      </c>
      <c r="D8" s="83"/>
      <c r="E8" s="75"/>
      <c r="F8" s="76"/>
      <c r="G8" s="76"/>
      <c r="H8" s="77"/>
      <c r="I8" s="78"/>
      <c r="J8" s="79">
        <v>2.8</v>
      </c>
      <c r="K8" s="80">
        <f>H8*J8</f>
        <v>0</v>
      </c>
      <c r="L8" s="84"/>
      <c r="M8" s="37"/>
      <c r="N8" s="37"/>
      <c r="O8" s="37"/>
      <c r="P8" s="37"/>
      <c r="Q8" s="37"/>
      <c r="R8" s="37"/>
      <c r="S8" s="37"/>
      <c r="T8" s="37"/>
    </row>
    <row r="9" spans="2:20" s="28" customFormat="1" ht="23.25">
      <c r="B9" s="73"/>
      <c r="C9" s="82" t="s">
        <v>52</v>
      </c>
      <c r="D9" s="83"/>
      <c r="E9" s="75"/>
      <c r="F9" s="76"/>
      <c r="G9" s="76"/>
      <c r="H9" s="77"/>
      <c r="I9" s="78"/>
      <c r="J9" s="79">
        <v>2.8</v>
      </c>
      <c r="K9" s="85">
        <f>H9*J9</f>
        <v>0</v>
      </c>
      <c r="L9" s="84"/>
      <c r="M9" s="37"/>
      <c r="N9" s="37"/>
      <c r="O9" s="37"/>
      <c r="P9" s="37"/>
      <c r="Q9" s="37"/>
      <c r="R9" s="37"/>
      <c r="S9" s="37"/>
      <c r="T9" s="37"/>
    </row>
    <row r="10" spans="2:20" s="28" customFormat="1" ht="23.25">
      <c r="B10" s="86" t="s">
        <v>1</v>
      </c>
      <c r="C10" s="87"/>
      <c r="D10" s="88">
        <f>SUM(D6:D9)</f>
        <v>0</v>
      </c>
      <c r="E10" s="88">
        <f>SUM(E6:E9)</f>
        <v>0</v>
      </c>
      <c r="F10" s="89"/>
      <c r="G10" s="89"/>
      <c r="H10" s="90">
        <f>SUM(H6:H9)</f>
        <v>390</v>
      </c>
      <c r="I10" s="90">
        <f>SUM(I6:I9)</f>
        <v>390</v>
      </c>
      <c r="J10" s="91"/>
      <c r="K10" s="92">
        <f>SUM(K6:K9)</f>
        <v>975</v>
      </c>
      <c r="L10" s="93">
        <f>SUM(L6:L9)</f>
        <v>41410</v>
      </c>
      <c r="M10" s="37"/>
      <c r="N10" s="37"/>
      <c r="O10" s="37"/>
      <c r="P10" s="37"/>
      <c r="Q10" s="37"/>
      <c r="R10" s="37"/>
      <c r="S10" s="37"/>
      <c r="T10" s="37"/>
    </row>
    <row r="11" spans="2:20" s="28" customFormat="1" ht="23.25" customHeight="1">
      <c r="B11" s="37"/>
      <c r="C11" s="37"/>
      <c r="D11" s="57"/>
      <c r="E11" s="58"/>
      <c r="F11" s="59"/>
      <c r="G11" s="59"/>
      <c r="H11" s="60"/>
      <c r="I11" s="61"/>
      <c r="J11" s="37"/>
      <c r="K11" s="62"/>
      <c r="L11" s="63"/>
      <c r="M11" s="37"/>
      <c r="N11" s="37"/>
      <c r="O11" s="37"/>
      <c r="P11" s="37"/>
      <c r="Q11" s="37"/>
      <c r="R11" s="37"/>
      <c r="S11" s="37"/>
      <c r="T11" s="37"/>
    </row>
    <row r="12" spans="2:20" s="28" customFormat="1" ht="23.25">
      <c r="B12" s="64">
        <v>24139</v>
      </c>
      <c r="C12" s="65" t="s">
        <v>49</v>
      </c>
      <c r="D12" s="66"/>
      <c r="E12" s="66"/>
      <c r="F12" s="67"/>
      <c r="G12" s="67"/>
      <c r="H12" s="68">
        <f>15+20+20</f>
        <v>55</v>
      </c>
      <c r="I12" s="69">
        <f>H12</f>
        <v>55</v>
      </c>
      <c r="J12" s="70">
        <v>2.5</v>
      </c>
      <c r="K12" s="71">
        <f>H12*J12</f>
        <v>137.5</v>
      </c>
      <c r="L12" s="72">
        <f>"99"*I12</f>
        <v>5445</v>
      </c>
      <c r="M12" s="37"/>
      <c r="N12" s="37"/>
      <c r="O12" s="37"/>
      <c r="P12" s="37"/>
      <c r="Q12" s="37"/>
      <c r="R12" s="37"/>
      <c r="S12" s="37"/>
      <c r="T12" s="37"/>
    </row>
    <row r="13" spans="2:20" s="28" customFormat="1" ht="23.25">
      <c r="B13" s="73"/>
      <c r="C13" s="74" t="s">
        <v>50</v>
      </c>
      <c r="D13" s="75"/>
      <c r="E13" s="75"/>
      <c r="F13" s="76"/>
      <c r="G13" s="76"/>
      <c r="H13" s="77">
        <f>15+25+5+20+25+10</f>
        <v>100</v>
      </c>
      <c r="I13" s="69">
        <f>H13</f>
        <v>100</v>
      </c>
      <c r="J13" s="79">
        <v>2.5</v>
      </c>
      <c r="K13" s="80">
        <f>H13*J13</f>
        <v>250</v>
      </c>
      <c r="L13" s="81">
        <f>"115"*I13</f>
        <v>11500</v>
      </c>
      <c r="M13" s="37"/>
      <c r="N13" s="37"/>
      <c r="O13" s="37"/>
      <c r="P13" s="37"/>
      <c r="Q13" s="37"/>
      <c r="R13" s="37"/>
      <c r="S13" s="37"/>
      <c r="T13" s="37"/>
    </row>
    <row r="14" spans="2:20" s="28" customFormat="1" ht="23.25">
      <c r="B14" s="73"/>
      <c r="C14" s="82" t="s">
        <v>51</v>
      </c>
      <c r="D14" s="83"/>
      <c r="E14" s="75"/>
      <c r="F14" s="76"/>
      <c r="G14" s="76"/>
      <c r="H14" s="77"/>
      <c r="I14" s="78"/>
      <c r="J14" s="79">
        <v>2.8</v>
      </c>
      <c r="K14" s="80">
        <f>H14*J14</f>
        <v>0</v>
      </c>
      <c r="L14" s="84"/>
      <c r="M14" s="37"/>
      <c r="N14" s="37"/>
      <c r="O14" s="37"/>
      <c r="P14" s="37"/>
      <c r="Q14" s="37"/>
      <c r="R14" s="37"/>
      <c r="S14" s="37"/>
      <c r="T14" s="37"/>
    </row>
    <row r="15" spans="2:20" s="28" customFormat="1" ht="23.25">
      <c r="B15" s="73"/>
      <c r="C15" s="82" t="s">
        <v>52</v>
      </c>
      <c r="D15" s="83"/>
      <c r="E15" s="75"/>
      <c r="F15" s="76"/>
      <c r="G15" s="76"/>
      <c r="H15" s="77"/>
      <c r="I15" s="78"/>
      <c r="J15" s="79">
        <v>2.8</v>
      </c>
      <c r="K15" s="85">
        <f>H15*J15</f>
        <v>0</v>
      </c>
      <c r="L15" s="84"/>
      <c r="M15" s="37"/>
      <c r="N15" s="37"/>
      <c r="O15" s="37"/>
      <c r="P15" s="37"/>
      <c r="Q15" s="37"/>
      <c r="R15" s="37"/>
      <c r="S15" s="37"/>
      <c r="T15" s="37"/>
    </row>
    <row r="16" spans="2:20" s="28" customFormat="1" ht="23.25">
      <c r="B16" s="86" t="s">
        <v>1</v>
      </c>
      <c r="C16" s="87"/>
      <c r="D16" s="88">
        <f>SUM(D12:D15)</f>
        <v>0</v>
      </c>
      <c r="E16" s="88">
        <f>SUM(E12:E15)</f>
        <v>0</v>
      </c>
      <c r="F16" s="89"/>
      <c r="G16" s="94"/>
      <c r="H16" s="90">
        <f>SUM(H12:H15)</f>
        <v>155</v>
      </c>
      <c r="I16" s="90">
        <f>SUM(I12:I15)</f>
        <v>155</v>
      </c>
      <c r="J16" s="91"/>
      <c r="K16" s="92">
        <f>SUM(K12:K15)</f>
        <v>387.5</v>
      </c>
      <c r="L16" s="93">
        <f>SUM(L12:L15)</f>
        <v>16945</v>
      </c>
      <c r="M16" s="37"/>
      <c r="N16" s="37"/>
      <c r="O16" s="37"/>
      <c r="P16" s="37"/>
      <c r="Q16" s="37"/>
      <c r="R16" s="37"/>
      <c r="S16" s="37"/>
      <c r="T16" s="37"/>
    </row>
    <row r="17" spans="2:20" s="28" customFormat="1" ht="23.25" customHeight="1">
      <c r="B17" s="37"/>
      <c r="C17" s="37"/>
      <c r="D17" s="57"/>
      <c r="E17" s="58"/>
      <c r="F17" s="59"/>
      <c r="G17" s="59"/>
      <c r="H17" s="60"/>
      <c r="I17" s="61"/>
      <c r="J17" s="37"/>
      <c r="K17" s="62"/>
      <c r="L17" s="63"/>
      <c r="M17" s="37"/>
      <c r="N17" s="37"/>
      <c r="O17" s="37"/>
      <c r="P17" s="37"/>
      <c r="Q17" s="37"/>
      <c r="R17" s="37"/>
      <c r="S17" s="37"/>
      <c r="T17" s="37"/>
    </row>
    <row r="18" spans="2:20" s="28" customFormat="1" ht="23.25">
      <c r="B18" s="64">
        <v>24167</v>
      </c>
      <c r="C18" s="65" t="s">
        <v>49</v>
      </c>
      <c r="D18" s="66"/>
      <c r="E18" s="66"/>
      <c r="F18" s="67"/>
      <c r="G18" s="67"/>
      <c r="H18" s="68">
        <f>15+30+10+20</f>
        <v>75</v>
      </c>
      <c r="I18" s="109">
        <f>H18</f>
        <v>75</v>
      </c>
      <c r="J18" s="70">
        <v>2.5</v>
      </c>
      <c r="K18" s="71">
        <f>H18*J18</f>
        <v>187.5</v>
      </c>
      <c r="L18" s="72">
        <f>"99"*I18</f>
        <v>7425</v>
      </c>
      <c r="M18" s="37"/>
      <c r="N18" s="37"/>
      <c r="O18" s="37"/>
      <c r="P18" s="37"/>
      <c r="Q18" s="37"/>
      <c r="R18" s="37"/>
      <c r="S18" s="37"/>
      <c r="T18" s="37"/>
    </row>
    <row r="19" spans="2:20" s="28" customFormat="1" ht="23.25">
      <c r="B19" s="73"/>
      <c r="C19" s="74" t="s">
        <v>50</v>
      </c>
      <c r="D19" s="75"/>
      <c r="E19" s="75"/>
      <c r="F19" s="76"/>
      <c r="G19" s="76"/>
      <c r="H19" s="77">
        <f>5+5+20+20+15+20+20+5+20</f>
        <v>130</v>
      </c>
      <c r="I19" s="78">
        <f>H19</f>
        <v>130</v>
      </c>
      <c r="J19" s="79">
        <v>2.5</v>
      </c>
      <c r="K19" s="80">
        <f>H19*J19</f>
        <v>325</v>
      </c>
      <c r="L19" s="81">
        <f>"115"*I19</f>
        <v>14950</v>
      </c>
      <c r="M19" s="37"/>
      <c r="N19" s="37"/>
      <c r="O19" s="37"/>
      <c r="P19" s="37"/>
      <c r="Q19" s="37"/>
      <c r="R19" s="37"/>
      <c r="S19" s="37"/>
      <c r="T19" s="37"/>
    </row>
    <row r="20" spans="2:20" s="28" customFormat="1" ht="23.25">
      <c r="B20" s="73"/>
      <c r="C20" s="82" t="s">
        <v>51</v>
      </c>
      <c r="D20" s="83"/>
      <c r="E20" s="75"/>
      <c r="F20" s="76"/>
      <c r="G20" s="76"/>
      <c r="H20" s="77"/>
      <c r="I20" s="78"/>
      <c r="J20" s="79">
        <v>2.8</v>
      </c>
      <c r="K20" s="80">
        <f>H20*J20</f>
        <v>0</v>
      </c>
      <c r="L20" s="84"/>
      <c r="M20" s="37"/>
      <c r="N20" s="37"/>
      <c r="O20" s="37"/>
      <c r="P20" s="37"/>
      <c r="Q20" s="37"/>
      <c r="R20" s="37"/>
      <c r="S20" s="37"/>
      <c r="T20" s="37"/>
    </row>
    <row r="21" spans="2:20" s="28" customFormat="1" ht="23.25">
      <c r="B21" s="73"/>
      <c r="C21" s="82" t="s">
        <v>52</v>
      </c>
      <c r="D21" s="83"/>
      <c r="E21" s="75"/>
      <c r="F21" s="76"/>
      <c r="G21" s="76"/>
      <c r="H21" s="77"/>
      <c r="I21" s="78"/>
      <c r="J21" s="79">
        <v>2.8</v>
      </c>
      <c r="K21" s="85">
        <f>H21*J21</f>
        <v>0</v>
      </c>
      <c r="L21" s="84"/>
      <c r="M21" s="37"/>
      <c r="N21" s="37"/>
      <c r="O21" s="37"/>
      <c r="P21" s="37"/>
      <c r="Q21" s="37"/>
      <c r="R21" s="37"/>
      <c r="S21" s="37"/>
      <c r="T21" s="37"/>
    </row>
    <row r="22" spans="2:20" s="28" customFormat="1" ht="23.25">
      <c r="B22" s="86" t="s">
        <v>1</v>
      </c>
      <c r="C22" s="87"/>
      <c r="D22" s="88">
        <f>SUM(D18:D21)</f>
        <v>0</v>
      </c>
      <c r="E22" s="88">
        <f>SUM(E18:E21)</f>
        <v>0</v>
      </c>
      <c r="F22" s="89"/>
      <c r="G22" s="94"/>
      <c r="H22" s="90">
        <f>SUM(H18:H21)</f>
        <v>205</v>
      </c>
      <c r="I22" s="90">
        <f>SUM(I18:I21)</f>
        <v>205</v>
      </c>
      <c r="J22" s="91"/>
      <c r="K22" s="92">
        <f>SUM(K18:K21)</f>
        <v>512.5</v>
      </c>
      <c r="L22" s="93">
        <f>SUM(L18:L21)</f>
        <v>22375</v>
      </c>
      <c r="M22" s="37"/>
      <c r="N22" s="37"/>
      <c r="O22" s="37"/>
      <c r="P22" s="37"/>
      <c r="Q22" s="37"/>
      <c r="R22" s="37"/>
      <c r="S22" s="37"/>
      <c r="T22" s="37"/>
    </row>
    <row r="23" spans="2:20" s="28" customFormat="1" ht="23.25" customHeight="1">
      <c r="B23" s="37"/>
      <c r="C23" s="37"/>
      <c r="D23" s="57"/>
      <c r="E23" s="58"/>
      <c r="F23" s="59"/>
      <c r="G23" s="59"/>
      <c r="H23" s="60"/>
      <c r="I23" s="61"/>
      <c r="J23" s="37"/>
      <c r="K23" s="62"/>
      <c r="L23" s="63"/>
      <c r="M23" s="37"/>
      <c r="N23" s="37"/>
      <c r="O23" s="37"/>
      <c r="P23" s="37"/>
      <c r="Q23" s="37"/>
      <c r="R23" s="37"/>
      <c r="S23" s="37"/>
      <c r="T23" s="37"/>
    </row>
    <row r="24" spans="2:20" s="28" customFormat="1" ht="23.25">
      <c r="B24" s="64">
        <v>24198</v>
      </c>
      <c r="C24" s="65" t="s">
        <v>49</v>
      </c>
      <c r="D24" s="66"/>
      <c r="E24" s="66"/>
      <c r="F24" s="67"/>
      <c r="G24" s="67"/>
      <c r="H24" s="68">
        <f>20+20+25+5</f>
        <v>70</v>
      </c>
      <c r="I24" s="109">
        <f>H24</f>
        <v>70</v>
      </c>
      <c r="J24" s="70">
        <v>2.5</v>
      </c>
      <c r="K24" s="71">
        <f>H24*J24</f>
        <v>175</v>
      </c>
      <c r="L24" s="72">
        <f>"99"*I24</f>
        <v>6930</v>
      </c>
      <c r="M24" s="37"/>
      <c r="N24" s="37"/>
      <c r="O24" s="37"/>
      <c r="P24" s="37"/>
      <c r="Q24" s="37"/>
      <c r="R24" s="37"/>
      <c r="S24" s="37"/>
      <c r="T24" s="37"/>
    </row>
    <row r="25" spans="2:20" s="28" customFormat="1" ht="23.25">
      <c r="B25" s="73"/>
      <c r="C25" s="74" t="s">
        <v>50</v>
      </c>
      <c r="D25" s="75"/>
      <c r="E25" s="75"/>
      <c r="F25" s="76"/>
      <c r="G25" s="76"/>
      <c r="H25" s="77">
        <f>10+25+5+2</f>
        <v>42</v>
      </c>
      <c r="I25" s="78">
        <f>H25</f>
        <v>42</v>
      </c>
      <c r="J25" s="79">
        <v>2.5</v>
      </c>
      <c r="K25" s="80">
        <f>H25*J25</f>
        <v>105</v>
      </c>
      <c r="L25" s="81">
        <f>"115"*I25</f>
        <v>4830</v>
      </c>
      <c r="M25" s="37"/>
      <c r="N25" s="37"/>
      <c r="O25" s="37"/>
      <c r="P25" s="37"/>
      <c r="Q25" s="37"/>
      <c r="R25" s="37"/>
      <c r="S25" s="37"/>
      <c r="T25" s="37"/>
    </row>
    <row r="26" spans="2:20" s="28" customFormat="1" ht="23.25">
      <c r="B26" s="73"/>
      <c r="C26" s="82" t="s">
        <v>51</v>
      </c>
      <c r="D26" s="83"/>
      <c r="E26" s="75"/>
      <c r="F26" s="76"/>
      <c r="G26" s="76"/>
      <c r="H26" s="77"/>
      <c r="I26" s="78"/>
      <c r="J26" s="79">
        <v>2.8</v>
      </c>
      <c r="K26" s="80">
        <f>H26*J26</f>
        <v>0</v>
      </c>
      <c r="L26" s="84"/>
      <c r="M26" s="37"/>
      <c r="N26" s="37"/>
      <c r="O26" s="37"/>
      <c r="P26" s="37"/>
      <c r="Q26" s="37"/>
      <c r="R26" s="37"/>
      <c r="S26" s="37"/>
      <c r="T26" s="37"/>
    </row>
    <row r="27" spans="2:20" s="28" customFormat="1" ht="23.25">
      <c r="B27" s="73"/>
      <c r="C27" s="82" t="s">
        <v>52</v>
      </c>
      <c r="D27" s="83"/>
      <c r="E27" s="75"/>
      <c r="F27" s="76"/>
      <c r="G27" s="76"/>
      <c r="H27" s="77"/>
      <c r="I27" s="78"/>
      <c r="J27" s="79">
        <v>2.8</v>
      </c>
      <c r="K27" s="85">
        <f>H27*J27</f>
        <v>0</v>
      </c>
      <c r="L27" s="84"/>
      <c r="M27" s="37"/>
      <c r="N27" s="37"/>
      <c r="O27" s="37"/>
      <c r="P27" s="37"/>
      <c r="Q27" s="37"/>
      <c r="R27" s="37"/>
      <c r="S27" s="37"/>
      <c r="T27" s="37"/>
    </row>
    <row r="28" spans="2:20" s="28" customFormat="1" ht="23.25">
      <c r="B28" s="124" t="s">
        <v>1</v>
      </c>
      <c r="C28" s="125"/>
      <c r="D28" s="88">
        <f>SUM(D24:D27)</f>
        <v>0</v>
      </c>
      <c r="E28" s="88">
        <f>SUM(E24:E27)</f>
        <v>0</v>
      </c>
      <c r="F28" s="89"/>
      <c r="G28" s="89"/>
      <c r="H28" s="90">
        <f>SUM(H24:H27)</f>
        <v>112</v>
      </c>
      <c r="I28" s="90">
        <f>SUM(I24:I27)</f>
        <v>112</v>
      </c>
      <c r="J28" s="91"/>
      <c r="K28" s="92">
        <f>SUM(K24:K27)</f>
        <v>280</v>
      </c>
      <c r="L28" s="93">
        <f>SUM(L24:L27)</f>
        <v>11760</v>
      </c>
      <c r="M28" s="37"/>
      <c r="N28" s="37"/>
      <c r="O28" s="37"/>
      <c r="P28" s="37"/>
      <c r="Q28" s="37"/>
      <c r="R28" s="37"/>
      <c r="S28" s="37"/>
      <c r="T28" s="37"/>
    </row>
    <row r="29" spans="2:20" s="28" customFormat="1" ht="23.25" customHeight="1">
      <c r="B29" s="37"/>
      <c r="C29" s="37"/>
      <c r="D29" s="57"/>
      <c r="E29" s="58"/>
      <c r="F29" s="59"/>
      <c r="G29" s="59"/>
      <c r="H29" s="60"/>
      <c r="I29" s="61"/>
      <c r="J29" s="37"/>
      <c r="K29" s="95"/>
      <c r="L29" s="96"/>
      <c r="M29" s="37"/>
      <c r="N29" s="37"/>
      <c r="O29" s="37"/>
      <c r="P29" s="37"/>
      <c r="Q29" s="37"/>
      <c r="R29" s="37"/>
      <c r="S29" s="37"/>
      <c r="T29" s="37"/>
    </row>
    <row r="30" spans="2:20" s="28" customFormat="1" ht="23.25">
      <c r="B30" s="64">
        <v>24228</v>
      </c>
      <c r="C30" s="65" t="s">
        <v>49</v>
      </c>
      <c r="D30" s="66"/>
      <c r="E30" s="66"/>
      <c r="F30" s="67"/>
      <c r="G30" s="67"/>
      <c r="H30" s="68">
        <f>20+30+15</f>
        <v>65</v>
      </c>
      <c r="I30" s="69">
        <f>H30</f>
        <v>65</v>
      </c>
      <c r="J30" s="70">
        <v>2.5</v>
      </c>
      <c r="K30" s="71">
        <f>H30*J30</f>
        <v>162.5</v>
      </c>
      <c r="L30" s="72">
        <f>"90"*I30</f>
        <v>5850</v>
      </c>
      <c r="M30" s="37"/>
      <c r="N30" s="37"/>
      <c r="O30" s="37"/>
      <c r="P30" s="37"/>
      <c r="Q30" s="37"/>
      <c r="R30" s="37"/>
      <c r="S30" s="37"/>
      <c r="T30" s="37"/>
    </row>
    <row r="31" spans="2:20" s="28" customFormat="1" ht="23.25">
      <c r="B31" s="73"/>
      <c r="C31" s="74" t="s">
        <v>50</v>
      </c>
      <c r="D31" s="75"/>
      <c r="E31" s="75"/>
      <c r="F31" s="76"/>
      <c r="G31" s="76"/>
      <c r="H31" s="77">
        <f>5+20+10+5+2+30+2</f>
        <v>74</v>
      </c>
      <c r="I31" s="69">
        <f>H31</f>
        <v>74</v>
      </c>
      <c r="J31" s="79">
        <v>2.5</v>
      </c>
      <c r="K31" s="80">
        <f>H31*J31</f>
        <v>185</v>
      </c>
      <c r="L31" s="81">
        <f>"105"*I31</f>
        <v>7770</v>
      </c>
      <c r="M31" s="37"/>
      <c r="N31" s="37"/>
      <c r="O31" s="37"/>
      <c r="P31" s="37"/>
      <c r="Q31" s="37"/>
      <c r="R31" s="37"/>
      <c r="S31" s="37"/>
      <c r="T31" s="37"/>
    </row>
    <row r="32" spans="2:20" s="28" customFormat="1" ht="23.25">
      <c r="B32" s="73"/>
      <c r="C32" s="82" t="s">
        <v>51</v>
      </c>
      <c r="D32" s="83"/>
      <c r="E32" s="75"/>
      <c r="F32" s="76"/>
      <c r="G32" s="76"/>
      <c r="H32" s="77"/>
      <c r="I32" s="78"/>
      <c r="J32" s="79">
        <v>2.8</v>
      </c>
      <c r="K32" s="80">
        <f>H32*J32</f>
        <v>0</v>
      </c>
      <c r="L32" s="84"/>
      <c r="M32" s="37"/>
      <c r="N32" s="37"/>
      <c r="O32" s="37"/>
      <c r="P32" s="37"/>
      <c r="Q32" s="37"/>
      <c r="R32" s="37"/>
      <c r="S32" s="37"/>
      <c r="T32" s="37"/>
    </row>
    <row r="33" spans="2:20" s="28" customFormat="1" ht="23.25">
      <c r="B33" s="73"/>
      <c r="C33" s="82" t="s">
        <v>52</v>
      </c>
      <c r="D33" s="83"/>
      <c r="E33" s="75"/>
      <c r="F33" s="76"/>
      <c r="G33" s="76"/>
      <c r="H33" s="77"/>
      <c r="I33" s="78"/>
      <c r="J33" s="79">
        <v>2.8</v>
      </c>
      <c r="K33" s="85">
        <f>H33*J33</f>
        <v>0</v>
      </c>
      <c r="L33" s="84"/>
      <c r="M33" s="37"/>
      <c r="N33" s="37"/>
      <c r="O33" s="37"/>
      <c r="P33" s="37"/>
      <c r="Q33" s="37"/>
      <c r="R33" s="37"/>
      <c r="S33" s="37"/>
      <c r="T33" s="37"/>
    </row>
    <row r="34" spans="2:20" s="28" customFormat="1" ht="23.25">
      <c r="B34" s="124" t="s">
        <v>1</v>
      </c>
      <c r="C34" s="125"/>
      <c r="D34" s="88">
        <f>SUM(D30:D33)</f>
        <v>0</v>
      </c>
      <c r="E34" s="88">
        <f>SUM(E30:E33)</f>
        <v>0</v>
      </c>
      <c r="F34" s="89"/>
      <c r="G34" s="89"/>
      <c r="H34" s="90">
        <f>SUM(H30:H33)</f>
        <v>139</v>
      </c>
      <c r="I34" s="90">
        <f>SUM(I30:I33)</f>
        <v>139</v>
      </c>
      <c r="J34" s="91"/>
      <c r="K34" s="92">
        <f>SUM(K30:K33)</f>
        <v>347.5</v>
      </c>
      <c r="L34" s="93">
        <f>SUM(L30:L33)</f>
        <v>13620</v>
      </c>
      <c r="M34" s="37"/>
      <c r="N34" s="37"/>
      <c r="O34" s="37"/>
      <c r="P34" s="37"/>
      <c r="Q34" s="37"/>
      <c r="R34" s="37"/>
      <c r="S34" s="37"/>
      <c r="T34" s="37"/>
    </row>
    <row r="35" spans="2:20" s="28" customFormat="1" ht="23.25" customHeight="1">
      <c r="B35" s="37"/>
      <c r="C35" s="37"/>
      <c r="D35" s="57"/>
      <c r="E35" s="58"/>
      <c r="F35" s="59"/>
      <c r="G35" s="59"/>
      <c r="H35" s="60"/>
      <c r="I35" s="61"/>
      <c r="J35" s="37"/>
      <c r="K35" s="62"/>
      <c r="L35" s="63"/>
      <c r="M35" s="37"/>
      <c r="N35" s="37"/>
      <c r="O35" s="37"/>
      <c r="P35" s="37"/>
      <c r="Q35" s="37"/>
      <c r="R35" s="37"/>
      <c r="S35" s="37"/>
      <c r="T35" s="37"/>
    </row>
    <row r="36" spans="2:20" s="28" customFormat="1" ht="23.25">
      <c r="B36" s="64">
        <v>24259</v>
      </c>
      <c r="C36" s="65" t="s">
        <v>49</v>
      </c>
      <c r="D36" s="66"/>
      <c r="E36" s="66"/>
      <c r="F36" s="67"/>
      <c r="G36" s="67"/>
      <c r="H36" s="68"/>
      <c r="I36" s="69"/>
      <c r="J36" s="70">
        <v>2.5</v>
      </c>
      <c r="K36" s="71">
        <f>H36*J36</f>
        <v>0</v>
      </c>
      <c r="L36" s="72">
        <f>"90"*I36</f>
        <v>0</v>
      </c>
      <c r="M36" s="37"/>
      <c r="N36" s="37"/>
      <c r="O36" s="37"/>
      <c r="P36" s="37"/>
      <c r="Q36" s="37"/>
      <c r="R36" s="37"/>
      <c r="S36" s="37"/>
      <c r="T36" s="37"/>
    </row>
    <row r="37" spans="2:20" s="28" customFormat="1" ht="23.25">
      <c r="B37" s="73"/>
      <c r="C37" s="74" t="s">
        <v>50</v>
      </c>
      <c r="D37" s="75"/>
      <c r="E37" s="75"/>
      <c r="F37" s="76"/>
      <c r="G37" s="76"/>
      <c r="H37" s="77"/>
      <c r="I37" s="78"/>
      <c r="J37" s="79">
        <v>2.5</v>
      </c>
      <c r="K37" s="80">
        <f>H37*J37</f>
        <v>0</v>
      </c>
      <c r="L37" s="81">
        <f>"105"*I37</f>
        <v>0</v>
      </c>
      <c r="M37" s="37"/>
      <c r="N37" s="37"/>
      <c r="O37" s="37"/>
      <c r="P37" s="37"/>
      <c r="Q37" s="37"/>
      <c r="R37" s="37"/>
      <c r="S37" s="37"/>
      <c r="T37" s="37"/>
    </row>
    <row r="38" spans="2:20" s="28" customFormat="1" ht="23.25">
      <c r="B38" s="73"/>
      <c r="C38" s="82" t="s">
        <v>51</v>
      </c>
      <c r="D38" s="75"/>
      <c r="E38" s="75"/>
      <c r="F38" s="76"/>
      <c r="G38" s="76"/>
      <c r="H38" s="77"/>
      <c r="I38" s="78"/>
      <c r="J38" s="79">
        <v>2.8</v>
      </c>
      <c r="K38" s="80">
        <f>H38*J38</f>
        <v>0</v>
      </c>
      <c r="L38" s="84"/>
      <c r="M38" s="37"/>
      <c r="N38" s="37"/>
      <c r="O38" s="37"/>
      <c r="P38" s="37"/>
      <c r="Q38" s="37"/>
      <c r="R38" s="37"/>
      <c r="S38" s="37"/>
      <c r="T38" s="37"/>
    </row>
    <row r="39" spans="2:20" s="28" customFormat="1" ht="23.25">
      <c r="B39" s="73"/>
      <c r="C39" s="82" t="s">
        <v>52</v>
      </c>
      <c r="D39" s="75"/>
      <c r="E39" s="75"/>
      <c r="F39" s="76"/>
      <c r="G39" s="76"/>
      <c r="H39" s="77"/>
      <c r="I39" s="78"/>
      <c r="J39" s="79">
        <v>2.8</v>
      </c>
      <c r="K39" s="85">
        <f>H39*J39</f>
        <v>0</v>
      </c>
      <c r="L39" s="84"/>
      <c r="M39" s="37"/>
      <c r="N39" s="37"/>
      <c r="O39" s="37"/>
      <c r="P39" s="37"/>
      <c r="Q39" s="37"/>
      <c r="R39" s="37"/>
      <c r="S39" s="37"/>
      <c r="T39" s="37"/>
    </row>
    <row r="40" spans="2:20" s="28" customFormat="1" ht="23.25">
      <c r="B40" s="124" t="s">
        <v>1</v>
      </c>
      <c r="C40" s="125"/>
      <c r="D40" s="88">
        <f>SUM(D36:D39)</f>
        <v>0</v>
      </c>
      <c r="E40" s="88">
        <f>SUM(E36:E39)</f>
        <v>0</v>
      </c>
      <c r="F40" s="89"/>
      <c r="G40" s="89"/>
      <c r="H40" s="90">
        <f>SUM(H36:H39)</f>
        <v>0</v>
      </c>
      <c r="I40" s="90">
        <f>SUM(I36:I39)</f>
        <v>0</v>
      </c>
      <c r="J40" s="91"/>
      <c r="K40" s="92">
        <f>SUM(K36:K39)</f>
        <v>0</v>
      </c>
      <c r="L40" s="93">
        <f>SUM(L36:L39)</f>
        <v>0</v>
      </c>
      <c r="M40" s="37"/>
      <c r="N40" s="37"/>
      <c r="O40" s="37"/>
      <c r="P40" s="37"/>
      <c r="Q40" s="37"/>
      <c r="R40" s="37"/>
      <c r="S40" s="37"/>
      <c r="T40" s="37"/>
    </row>
    <row r="41" spans="2:20" s="28" customFormat="1" ht="23.25" customHeight="1">
      <c r="B41" s="37"/>
      <c r="C41" s="37"/>
      <c r="D41" s="57"/>
      <c r="E41" s="58"/>
      <c r="F41" s="59"/>
      <c r="G41" s="59"/>
      <c r="H41" s="60"/>
      <c r="I41" s="61"/>
      <c r="J41" s="37"/>
      <c r="K41" s="95"/>
      <c r="L41" s="96"/>
      <c r="M41" s="37"/>
      <c r="N41" s="37"/>
      <c r="O41" s="37"/>
      <c r="P41" s="37"/>
      <c r="Q41" s="37"/>
      <c r="R41" s="37"/>
      <c r="S41" s="37"/>
      <c r="T41" s="37"/>
    </row>
    <row r="42" spans="2:20" s="28" customFormat="1" ht="23.25">
      <c r="B42" s="64">
        <v>24289</v>
      </c>
      <c r="C42" s="65" t="s">
        <v>49</v>
      </c>
      <c r="D42" s="66"/>
      <c r="E42" s="66"/>
      <c r="F42" s="67"/>
      <c r="G42" s="67"/>
      <c r="H42" s="68">
        <f>10+20+5+5+30+10</f>
        <v>80</v>
      </c>
      <c r="I42" s="69">
        <v>80</v>
      </c>
      <c r="J42" s="70">
        <v>2.5</v>
      </c>
      <c r="K42" s="71">
        <f>H42*J42</f>
        <v>200</v>
      </c>
      <c r="L42" s="72">
        <f>"90"*I42</f>
        <v>7200</v>
      </c>
      <c r="M42" s="37"/>
      <c r="N42" s="37"/>
      <c r="O42" s="37"/>
      <c r="P42" s="37"/>
      <c r="Q42" s="37"/>
      <c r="R42" s="37"/>
      <c r="S42" s="37"/>
      <c r="T42" s="37"/>
    </row>
    <row r="43" spans="2:20" s="28" customFormat="1" ht="23.25">
      <c r="B43" s="73"/>
      <c r="C43" s="74" t="s">
        <v>50</v>
      </c>
      <c r="D43" s="75"/>
      <c r="E43" s="75"/>
      <c r="F43" s="76"/>
      <c r="G43" s="76"/>
      <c r="H43" s="77">
        <f>15+30+20+10</f>
        <v>75</v>
      </c>
      <c r="I43" s="78">
        <v>75</v>
      </c>
      <c r="J43" s="79">
        <v>2.5</v>
      </c>
      <c r="K43" s="80">
        <f>H43*J43</f>
        <v>187.5</v>
      </c>
      <c r="L43" s="81">
        <f>"105"*I43</f>
        <v>7875</v>
      </c>
      <c r="M43" s="37"/>
      <c r="N43" s="37"/>
      <c r="O43" s="37"/>
      <c r="P43" s="37"/>
      <c r="Q43" s="37"/>
      <c r="R43" s="37"/>
      <c r="S43" s="37"/>
      <c r="T43" s="37"/>
    </row>
    <row r="44" spans="2:20" s="28" customFormat="1" ht="23.25">
      <c r="B44" s="73"/>
      <c r="C44" s="82" t="s">
        <v>51</v>
      </c>
      <c r="D44" s="75"/>
      <c r="E44" s="75"/>
      <c r="F44" s="76"/>
      <c r="G44" s="76"/>
      <c r="H44" s="77"/>
      <c r="I44" s="78"/>
      <c r="J44" s="79">
        <v>2.8</v>
      </c>
      <c r="K44" s="80">
        <f>H44*J44</f>
        <v>0</v>
      </c>
      <c r="L44" s="84"/>
      <c r="M44" s="37"/>
      <c r="N44" s="37"/>
      <c r="O44" s="37"/>
      <c r="P44" s="37"/>
      <c r="Q44" s="37"/>
      <c r="R44" s="37"/>
      <c r="S44" s="37"/>
      <c r="T44" s="37"/>
    </row>
    <row r="45" spans="2:20" s="28" customFormat="1" ht="23.25">
      <c r="B45" s="73"/>
      <c r="C45" s="82" t="s">
        <v>52</v>
      </c>
      <c r="D45" s="75"/>
      <c r="E45" s="75"/>
      <c r="F45" s="76"/>
      <c r="G45" s="76"/>
      <c r="H45" s="77"/>
      <c r="I45" s="78"/>
      <c r="J45" s="79">
        <v>2.8</v>
      </c>
      <c r="K45" s="85">
        <f>H45*J45</f>
        <v>0</v>
      </c>
      <c r="L45" s="84"/>
      <c r="M45" s="37"/>
      <c r="N45" s="37"/>
      <c r="O45" s="37"/>
      <c r="P45" s="37"/>
      <c r="Q45" s="37"/>
      <c r="R45" s="37"/>
      <c r="S45" s="37"/>
      <c r="T45" s="37"/>
    </row>
    <row r="46" spans="2:20" s="28" customFormat="1" ht="23.25">
      <c r="B46" s="124" t="s">
        <v>1</v>
      </c>
      <c r="C46" s="125"/>
      <c r="D46" s="88">
        <f>SUM(D42:D45)</f>
        <v>0</v>
      </c>
      <c r="E46" s="88">
        <f>SUM(E42:E45)</f>
        <v>0</v>
      </c>
      <c r="F46" s="89"/>
      <c r="G46" s="89"/>
      <c r="H46" s="90">
        <f>SUM(H42:H45)</f>
        <v>155</v>
      </c>
      <c r="I46" s="90">
        <f>SUM(I42:I45)</f>
        <v>155</v>
      </c>
      <c r="J46" s="91"/>
      <c r="K46" s="92">
        <f>SUM(K42:K45)</f>
        <v>387.5</v>
      </c>
      <c r="L46" s="93">
        <f>SUM(L42:L45)</f>
        <v>15075</v>
      </c>
      <c r="M46" s="37"/>
      <c r="N46" s="37"/>
      <c r="O46" s="37"/>
      <c r="P46" s="37"/>
      <c r="Q46" s="37"/>
      <c r="R46" s="37"/>
      <c r="S46" s="37"/>
      <c r="T46" s="37"/>
    </row>
    <row r="47" spans="2:20" s="28" customFormat="1" ht="23.25" customHeight="1">
      <c r="B47" s="37"/>
      <c r="C47" s="37"/>
      <c r="D47" s="57"/>
      <c r="E47" s="58"/>
      <c r="F47" s="59"/>
      <c r="G47" s="59"/>
      <c r="H47" s="60"/>
      <c r="I47" s="61"/>
      <c r="J47" s="37"/>
      <c r="K47" s="62"/>
      <c r="L47" s="63"/>
      <c r="M47" s="37"/>
      <c r="N47" s="37"/>
      <c r="O47" s="37"/>
      <c r="P47" s="37"/>
      <c r="Q47" s="37"/>
      <c r="R47" s="37"/>
      <c r="S47" s="37"/>
      <c r="T47" s="37"/>
    </row>
    <row r="48" spans="2:20" s="28" customFormat="1" ht="23.25">
      <c r="B48" s="64">
        <v>24320</v>
      </c>
      <c r="C48" s="65" t="s">
        <v>49</v>
      </c>
      <c r="D48" s="66"/>
      <c r="E48" s="66"/>
      <c r="F48" s="67"/>
      <c r="G48" s="67"/>
      <c r="H48" s="68">
        <f>10+15+10+10+30</f>
        <v>75</v>
      </c>
      <c r="I48" s="69">
        <f>H48</f>
        <v>75</v>
      </c>
      <c r="J48" s="70">
        <v>2.5</v>
      </c>
      <c r="K48" s="71">
        <f>H48*J48</f>
        <v>187.5</v>
      </c>
      <c r="L48" s="72">
        <f>"90"*I48</f>
        <v>6750</v>
      </c>
      <c r="M48" s="37"/>
      <c r="N48" s="37"/>
      <c r="O48" s="37"/>
      <c r="P48" s="37"/>
      <c r="Q48" s="37"/>
      <c r="R48" s="37"/>
      <c r="S48" s="37"/>
      <c r="T48" s="37"/>
    </row>
    <row r="49" spans="2:20" s="28" customFormat="1" ht="23.25">
      <c r="B49" s="73"/>
      <c r="C49" s="74" t="s">
        <v>50</v>
      </c>
      <c r="D49" s="75"/>
      <c r="E49" s="75"/>
      <c r="F49" s="76"/>
      <c r="G49" s="76"/>
      <c r="H49" s="77">
        <f>3+5+20+15+20+30+10+15</f>
        <v>118</v>
      </c>
      <c r="I49" s="69">
        <f>H49</f>
        <v>118</v>
      </c>
      <c r="J49" s="79">
        <v>2.5</v>
      </c>
      <c r="K49" s="80">
        <f>H49*J49</f>
        <v>295</v>
      </c>
      <c r="L49" s="81">
        <f>"105"*I49</f>
        <v>12390</v>
      </c>
      <c r="M49" s="37"/>
      <c r="N49" s="37"/>
      <c r="O49" s="37"/>
      <c r="P49" s="37"/>
      <c r="Q49" s="37"/>
      <c r="R49" s="37"/>
      <c r="S49" s="37"/>
      <c r="T49" s="37"/>
    </row>
    <row r="50" spans="2:20" s="28" customFormat="1" ht="23.25">
      <c r="B50" s="73"/>
      <c r="C50" s="82" t="s">
        <v>51</v>
      </c>
      <c r="D50" s="75"/>
      <c r="E50" s="75"/>
      <c r="F50" s="76"/>
      <c r="G50" s="76"/>
      <c r="H50" s="77"/>
      <c r="I50" s="78"/>
      <c r="J50" s="79">
        <v>2.8</v>
      </c>
      <c r="K50" s="80">
        <f>H50*J50</f>
        <v>0</v>
      </c>
      <c r="L50" s="84"/>
      <c r="M50" s="37"/>
      <c r="N50" s="37"/>
      <c r="O50" s="37"/>
      <c r="P50" s="37"/>
      <c r="Q50" s="37"/>
      <c r="R50" s="37"/>
      <c r="S50" s="37"/>
      <c r="T50" s="37"/>
    </row>
    <row r="51" spans="2:20" s="28" customFormat="1" ht="23.25">
      <c r="B51" s="73"/>
      <c r="C51" s="82" t="s">
        <v>52</v>
      </c>
      <c r="D51" s="75"/>
      <c r="E51" s="75"/>
      <c r="F51" s="76"/>
      <c r="G51" s="76"/>
      <c r="H51" s="77"/>
      <c r="I51" s="78"/>
      <c r="J51" s="79">
        <v>2.8</v>
      </c>
      <c r="K51" s="85">
        <f>H51*J51</f>
        <v>0</v>
      </c>
      <c r="L51" s="84"/>
      <c r="M51" s="37"/>
      <c r="N51" s="37"/>
      <c r="O51" s="37"/>
      <c r="P51" s="37"/>
      <c r="Q51" s="37"/>
      <c r="R51" s="37"/>
      <c r="S51" s="37"/>
      <c r="T51" s="37"/>
    </row>
    <row r="52" spans="2:20" s="28" customFormat="1" ht="23.25">
      <c r="B52" s="124" t="s">
        <v>1</v>
      </c>
      <c r="C52" s="125"/>
      <c r="D52" s="88">
        <f>SUM(D48:D51)</f>
        <v>0</v>
      </c>
      <c r="E52" s="88">
        <f>SUM(E48:E51)</f>
        <v>0</v>
      </c>
      <c r="F52" s="89"/>
      <c r="G52" s="89"/>
      <c r="H52" s="90">
        <f>SUM(H48:H51)</f>
        <v>193</v>
      </c>
      <c r="I52" s="90">
        <f>SUM(I48:I51)</f>
        <v>193</v>
      </c>
      <c r="J52" s="91"/>
      <c r="K52" s="92">
        <f>SUM(K48:K51)</f>
        <v>482.5</v>
      </c>
      <c r="L52" s="93">
        <f>SUM(L48:L51)</f>
        <v>19140</v>
      </c>
      <c r="M52" s="37"/>
      <c r="N52" s="37"/>
      <c r="O52" s="37"/>
      <c r="P52" s="37"/>
      <c r="Q52" s="37"/>
      <c r="R52" s="37"/>
      <c r="S52" s="37"/>
      <c r="T52" s="37"/>
    </row>
    <row r="53" spans="2:20" s="28" customFormat="1" ht="23.25" customHeight="1">
      <c r="B53" s="37"/>
      <c r="C53" s="37"/>
      <c r="D53" s="57"/>
      <c r="E53" s="58"/>
      <c r="F53" s="59"/>
      <c r="G53" s="59"/>
      <c r="H53" s="60"/>
      <c r="I53" s="61"/>
      <c r="J53" s="37"/>
      <c r="K53" s="95"/>
      <c r="L53" s="96"/>
      <c r="M53" s="37"/>
      <c r="N53" s="37"/>
      <c r="O53" s="37"/>
      <c r="P53" s="37"/>
      <c r="Q53" s="37"/>
      <c r="R53" s="37"/>
      <c r="S53" s="37"/>
      <c r="T53" s="37"/>
    </row>
    <row r="54" spans="2:20" s="28" customFormat="1" ht="23.25">
      <c r="B54" s="64">
        <v>24351</v>
      </c>
      <c r="C54" s="65" t="s">
        <v>49</v>
      </c>
      <c r="D54" s="66"/>
      <c r="E54" s="66"/>
      <c r="F54" s="67"/>
      <c r="G54" s="67"/>
      <c r="H54" s="68">
        <f>20+5+30</f>
        <v>55</v>
      </c>
      <c r="I54" s="69">
        <f>H54</f>
        <v>55</v>
      </c>
      <c r="J54" s="70">
        <v>2.5</v>
      </c>
      <c r="K54" s="71">
        <f>H54*J54</f>
        <v>137.5</v>
      </c>
      <c r="L54" s="72">
        <f>"90"*I54</f>
        <v>4950</v>
      </c>
      <c r="M54" s="37"/>
      <c r="N54" s="37"/>
      <c r="O54" s="37"/>
      <c r="P54" s="37"/>
      <c r="Q54" s="37"/>
      <c r="R54" s="37"/>
      <c r="S54" s="37"/>
      <c r="T54" s="37"/>
    </row>
    <row r="55" spans="2:20" s="28" customFormat="1" ht="23.25">
      <c r="B55" s="73"/>
      <c r="C55" s="74" t="s">
        <v>50</v>
      </c>
      <c r="D55" s="75"/>
      <c r="E55" s="75"/>
      <c r="F55" s="76"/>
      <c r="G55" s="76"/>
      <c r="H55" s="77">
        <f>25+20+2+5+5</f>
        <v>57</v>
      </c>
      <c r="I55" s="69">
        <f>H55</f>
        <v>57</v>
      </c>
      <c r="J55" s="79">
        <v>2.5</v>
      </c>
      <c r="K55" s="80">
        <f>H55*J55</f>
        <v>142.5</v>
      </c>
      <c r="L55" s="81">
        <f>"105"*I55</f>
        <v>5985</v>
      </c>
      <c r="M55" s="37"/>
      <c r="N55" s="37"/>
      <c r="O55" s="37"/>
      <c r="P55" s="37"/>
      <c r="Q55" s="37"/>
      <c r="R55" s="37"/>
      <c r="S55" s="37"/>
      <c r="T55" s="37"/>
    </row>
    <row r="56" spans="2:20" s="28" customFormat="1" ht="23.25">
      <c r="B56" s="73"/>
      <c r="C56" s="82" t="s">
        <v>51</v>
      </c>
      <c r="D56" s="75"/>
      <c r="E56" s="75"/>
      <c r="F56" s="76"/>
      <c r="G56" s="76"/>
      <c r="H56" s="77"/>
      <c r="I56" s="78"/>
      <c r="J56" s="79">
        <v>2.8</v>
      </c>
      <c r="K56" s="80">
        <f>H56*J56</f>
        <v>0</v>
      </c>
      <c r="L56" s="84"/>
      <c r="M56" s="37"/>
      <c r="N56" s="37"/>
      <c r="O56" s="37"/>
      <c r="P56" s="37"/>
      <c r="Q56" s="37"/>
      <c r="R56" s="37"/>
      <c r="S56" s="37"/>
      <c r="T56" s="37"/>
    </row>
    <row r="57" spans="2:20" s="28" customFormat="1" ht="23.25">
      <c r="B57" s="73"/>
      <c r="C57" s="82" t="s">
        <v>52</v>
      </c>
      <c r="D57" s="75"/>
      <c r="E57" s="75"/>
      <c r="F57" s="76"/>
      <c r="G57" s="76"/>
      <c r="H57" s="77"/>
      <c r="I57" s="78"/>
      <c r="J57" s="79">
        <v>2.8</v>
      </c>
      <c r="K57" s="85">
        <f>H57*J57</f>
        <v>0</v>
      </c>
      <c r="L57" s="84"/>
      <c r="M57" s="37"/>
      <c r="N57" s="37"/>
      <c r="O57" s="37"/>
      <c r="P57" s="37"/>
      <c r="Q57" s="37"/>
      <c r="R57" s="37"/>
      <c r="S57" s="37"/>
      <c r="T57" s="37"/>
    </row>
    <row r="58" spans="2:20" s="28" customFormat="1" ht="23.25">
      <c r="B58" s="124" t="s">
        <v>1</v>
      </c>
      <c r="C58" s="125"/>
      <c r="D58" s="88">
        <f>SUM(D54:D57)</f>
        <v>0</v>
      </c>
      <c r="E58" s="88">
        <f>SUM(E54:E57)</f>
        <v>0</v>
      </c>
      <c r="F58" s="89"/>
      <c r="G58" s="89"/>
      <c r="H58" s="90">
        <f>SUM(H54:H57)</f>
        <v>112</v>
      </c>
      <c r="I58" s="90">
        <f>SUM(I54:I57)</f>
        <v>112</v>
      </c>
      <c r="J58" s="91"/>
      <c r="K58" s="92">
        <f>SUM(K54:K57)</f>
        <v>280</v>
      </c>
      <c r="L58" s="93">
        <f>SUM(L54:L57)</f>
        <v>10935</v>
      </c>
      <c r="M58" s="37"/>
      <c r="N58" s="37"/>
      <c r="O58" s="37"/>
      <c r="P58" s="37"/>
      <c r="Q58" s="37"/>
      <c r="R58" s="37"/>
      <c r="S58" s="37"/>
      <c r="T58" s="37"/>
    </row>
    <row r="59" spans="2:20" s="28" customFormat="1" ht="26.25" customHeight="1">
      <c r="B59" s="37"/>
      <c r="C59" s="37"/>
      <c r="D59" s="57"/>
      <c r="E59" s="58"/>
      <c r="F59" s="59"/>
      <c r="G59" s="59"/>
      <c r="H59" s="60"/>
      <c r="I59" s="61"/>
      <c r="J59" s="37"/>
      <c r="K59" s="62"/>
      <c r="L59" s="96"/>
      <c r="M59" s="37"/>
      <c r="N59" s="37"/>
      <c r="O59" s="37"/>
      <c r="P59" s="37"/>
      <c r="Q59" s="37"/>
      <c r="R59" s="37"/>
      <c r="S59" s="37"/>
      <c r="T59" s="37"/>
    </row>
    <row r="60" spans="2:20" s="28" customFormat="1" ht="26.25" customHeight="1">
      <c r="B60" s="64">
        <v>24381</v>
      </c>
      <c r="C60" s="65" t="s">
        <v>49</v>
      </c>
      <c r="D60" s="97"/>
      <c r="E60" s="97"/>
      <c r="F60" s="67"/>
      <c r="G60" s="67"/>
      <c r="H60" s="68">
        <f>10+15+5+30+5</f>
        <v>65</v>
      </c>
      <c r="I60" s="69">
        <f>H60</f>
        <v>65</v>
      </c>
      <c r="J60" s="70">
        <v>2.5</v>
      </c>
      <c r="K60" s="71">
        <f>H60*J60</f>
        <v>162.5</v>
      </c>
      <c r="L60" s="72">
        <f>"90"*I60</f>
        <v>5850</v>
      </c>
      <c r="M60" s="37"/>
      <c r="N60" s="98"/>
      <c r="O60" s="37"/>
      <c r="P60" s="37"/>
      <c r="Q60" s="37"/>
      <c r="R60" s="37"/>
      <c r="S60" s="37"/>
      <c r="T60" s="37"/>
    </row>
    <row r="61" spans="2:20" s="28" customFormat="1" ht="26.25" customHeight="1">
      <c r="B61" s="73"/>
      <c r="C61" s="74" t="s">
        <v>50</v>
      </c>
      <c r="D61" s="99"/>
      <c r="E61" s="99"/>
      <c r="F61" s="76"/>
      <c r="G61" s="76"/>
      <c r="H61" s="77">
        <f>2+2+20+20+15+5+10+5</f>
        <v>79</v>
      </c>
      <c r="I61" s="69">
        <f>H61</f>
        <v>79</v>
      </c>
      <c r="J61" s="79">
        <v>2.5</v>
      </c>
      <c r="K61" s="80">
        <f>H61*J61</f>
        <v>197.5</v>
      </c>
      <c r="L61" s="81">
        <f>"105"*I61</f>
        <v>8295</v>
      </c>
      <c r="M61" s="37"/>
      <c r="N61" s="98"/>
      <c r="O61" s="37"/>
      <c r="P61" s="37"/>
      <c r="Q61" s="37"/>
      <c r="R61" s="37"/>
      <c r="S61" s="37"/>
      <c r="T61" s="37"/>
    </row>
    <row r="62" spans="2:20" s="28" customFormat="1" ht="26.25" customHeight="1">
      <c r="B62" s="73"/>
      <c r="C62" s="82" t="s">
        <v>51</v>
      </c>
      <c r="D62" s="99"/>
      <c r="E62" s="99"/>
      <c r="F62" s="76"/>
      <c r="G62" s="76"/>
      <c r="H62" s="77"/>
      <c r="I62" s="78"/>
      <c r="J62" s="79">
        <v>2.8</v>
      </c>
      <c r="K62" s="80">
        <f>H62*J62</f>
        <v>0</v>
      </c>
      <c r="L62" s="84"/>
      <c r="M62" s="37"/>
      <c r="N62" s="37"/>
      <c r="O62" s="37"/>
      <c r="P62" s="37"/>
      <c r="Q62" s="37"/>
      <c r="R62" s="37"/>
      <c r="S62" s="37"/>
      <c r="T62" s="37"/>
    </row>
    <row r="63" spans="2:20" s="28" customFormat="1" ht="26.25" customHeight="1">
      <c r="B63" s="73"/>
      <c r="C63" s="82" t="s">
        <v>52</v>
      </c>
      <c r="D63" s="75"/>
      <c r="E63" s="75"/>
      <c r="F63" s="76"/>
      <c r="G63" s="100"/>
      <c r="H63" s="77"/>
      <c r="I63" s="78"/>
      <c r="J63" s="79">
        <v>2.8</v>
      </c>
      <c r="K63" s="85">
        <f>H63*J63</f>
        <v>0</v>
      </c>
      <c r="L63" s="84"/>
      <c r="M63" s="37"/>
      <c r="N63" s="37"/>
      <c r="O63" s="37"/>
      <c r="P63" s="37"/>
      <c r="Q63" s="37"/>
      <c r="R63" s="37"/>
      <c r="S63" s="37"/>
      <c r="T63" s="37"/>
    </row>
    <row r="64" spans="2:12" ht="26.25" customHeight="1">
      <c r="B64" s="124" t="s">
        <v>1</v>
      </c>
      <c r="C64" s="125"/>
      <c r="D64" s="88">
        <f>SUM(D60:D63)</f>
        <v>0</v>
      </c>
      <c r="E64" s="88">
        <f>SUM(E60:E63)</f>
        <v>0</v>
      </c>
      <c r="F64" s="89"/>
      <c r="G64" s="89"/>
      <c r="H64" s="90">
        <f>SUM(H60:H63)</f>
        <v>144</v>
      </c>
      <c r="I64" s="90">
        <f>SUM(I60:I63)</f>
        <v>144</v>
      </c>
      <c r="J64" s="91"/>
      <c r="K64" s="92">
        <f>SUM(K60:K63)</f>
        <v>360</v>
      </c>
      <c r="L64" s="93">
        <f>SUM(L60:L63)</f>
        <v>14145</v>
      </c>
    </row>
    <row r="65" spans="5:9" ht="26.25" customHeight="1">
      <c r="E65" s="102"/>
      <c r="F65" s="103"/>
      <c r="G65" s="103"/>
      <c r="H65" s="104"/>
      <c r="I65" s="105"/>
    </row>
    <row r="66" spans="2:12" ht="26.25" customHeight="1">
      <c r="B66" s="64">
        <v>24412</v>
      </c>
      <c r="C66" s="65" t="s">
        <v>49</v>
      </c>
      <c r="D66" s="97"/>
      <c r="E66" s="97"/>
      <c r="F66" s="67"/>
      <c r="G66" s="67"/>
      <c r="H66" s="68">
        <f>20+10+10+15+10+15+20+5</f>
        <v>105</v>
      </c>
      <c r="I66" s="69">
        <f>H66</f>
        <v>105</v>
      </c>
      <c r="J66" s="70">
        <v>2.5</v>
      </c>
      <c r="K66" s="71">
        <f>H66*J66</f>
        <v>262.5</v>
      </c>
      <c r="L66" s="72">
        <f>"90"*I66</f>
        <v>9450</v>
      </c>
    </row>
    <row r="67" spans="2:12" ht="26.25" customHeight="1">
      <c r="B67" s="73"/>
      <c r="C67" s="74" t="s">
        <v>50</v>
      </c>
      <c r="D67" s="99"/>
      <c r="E67" s="99"/>
      <c r="F67" s="76"/>
      <c r="G67" s="76"/>
      <c r="H67" s="77">
        <f>20+5+5+15+20+15+5+5+5+20+2+20</f>
        <v>137</v>
      </c>
      <c r="I67" s="69">
        <f>H67</f>
        <v>137</v>
      </c>
      <c r="J67" s="79">
        <v>2.5</v>
      </c>
      <c r="K67" s="80">
        <f>H67*J67</f>
        <v>342.5</v>
      </c>
      <c r="L67" s="81">
        <f>"105"*I67</f>
        <v>14385</v>
      </c>
    </row>
    <row r="68" spans="2:12" ht="26.25" customHeight="1">
      <c r="B68" s="73"/>
      <c r="C68" s="82" t="s">
        <v>51</v>
      </c>
      <c r="D68" s="99"/>
      <c r="E68" s="99"/>
      <c r="F68" s="76"/>
      <c r="G68" s="76"/>
      <c r="H68" s="77"/>
      <c r="I68" s="78"/>
      <c r="J68" s="79">
        <v>2.8</v>
      </c>
      <c r="K68" s="80">
        <f>H68*J68</f>
        <v>0</v>
      </c>
      <c r="L68" s="84"/>
    </row>
    <row r="69" spans="2:12" ht="26.25" customHeight="1">
      <c r="B69" s="73"/>
      <c r="C69" s="82" t="s">
        <v>52</v>
      </c>
      <c r="D69" s="75"/>
      <c r="E69" s="75"/>
      <c r="F69" s="76"/>
      <c r="G69" s="76"/>
      <c r="H69" s="77"/>
      <c r="I69" s="78"/>
      <c r="J69" s="79">
        <v>2.8</v>
      </c>
      <c r="K69" s="85">
        <f>H69*J69</f>
        <v>0</v>
      </c>
      <c r="L69" s="84"/>
    </row>
    <row r="70" spans="2:12" ht="26.25" customHeight="1">
      <c r="B70" s="124" t="s">
        <v>1</v>
      </c>
      <c r="C70" s="125"/>
      <c r="D70" s="88">
        <f>SUM(D66:D69)</f>
        <v>0</v>
      </c>
      <c r="E70" s="88">
        <f>SUM(E66:E69)</f>
        <v>0</v>
      </c>
      <c r="F70" s="89"/>
      <c r="G70" s="89"/>
      <c r="H70" s="90">
        <f>SUM(H66:H69)</f>
        <v>242</v>
      </c>
      <c r="I70" s="90">
        <f>SUM(I66:I69)</f>
        <v>242</v>
      </c>
      <c r="J70" s="91"/>
      <c r="K70" s="92">
        <f>SUM(K66:K69)</f>
        <v>605</v>
      </c>
      <c r="L70" s="93">
        <f>SUM(L66:L69)</f>
        <v>23835</v>
      </c>
    </row>
    <row r="71" spans="5:9" ht="26.25" customHeight="1">
      <c r="E71" s="102"/>
      <c r="F71" s="103"/>
      <c r="G71" s="103"/>
      <c r="H71" s="104"/>
      <c r="I71" s="105"/>
    </row>
    <row r="72" spans="2:12" ht="26.25" customHeight="1">
      <c r="B72" s="64">
        <v>24442</v>
      </c>
      <c r="C72" s="65" t="s">
        <v>49</v>
      </c>
      <c r="D72" s="97"/>
      <c r="E72" s="97"/>
      <c r="F72" s="67"/>
      <c r="G72" s="67"/>
      <c r="H72" s="68">
        <f>5+20+30+10+30+5</f>
        <v>100</v>
      </c>
      <c r="I72" s="69">
        <f>H72</f>
        <v>100</v>
      </c>
      <c r="J72" s="70">
        <v>2.5</v>
      </c>
      <c r="K72" s="71">
        <f>H72*J72</f>
        <v>250</v>
      </c>
      <c r="L72" s="72">
        <f>"90"*I72</f>
        <v>9000</v>
      </c>
    </row>
    <row r="73" spans="2:12" ht="26.25" customHeight="1">
      <c r="B73" s="73"/>
      <c r="C73" s="74" t="s">
        <v>50</v>
      </c>
      <c r="D73" s="99"/>
      <c r="E73" s="99"/>
      <c r="F73" s="76"/>
      <c r="G73" s="76"/>
      <c r="H73" s="77">
        <f>30+20+30+5+5</f>
        <v>90</v>
      </c>
      <c r="I73" s="69">
        <f>H73</f>
        <v>90</v>
      </c>
      <c r="J73" s="79">
        <v>2.5</v>
      </c>
      <c r="K73" s="80">
        <f>H73*J73</f>
        <v>225</v>
      </c>
      <c r="L73" s="81">
        <f>"105"*I73</f>
        <v>9450</v>
      </c>
    </row>
    <row r="74" spans="2:12" ht="26.25" customHeight="1">
      <c r="B74" s="73"/>
      <c r="C74" s="82" t="s">
        <v>51</v>
      </c>
      <c r="D74" s="99"/>
      <c r="E74" s="99"/>
      <c r="F74" s="76"/>
      <c r="G74" s="76"/>
      <c r="H74" s="77"/>
      <c r="I74" s="78"/>
      <c r="J74" s="79">
        <v>2.8</v>
      </c>
      <c r="K74" s="80">
        <f>H74*J74</f>
        <v>0</v>
      </c>
      <c r="L74" s="84"/>
    </row>
    <row r="75" spans="2:12" ht="26.25" customHeight="1">
      <c r="B75" s="73"/>
      <c r="C75" s="82" t="s">
        <v>52</v>
      </c>
      <c r="D75" s="75"/>
      <c r="E75" s="75"/>
      <c r="F75" s="76"/>
      <c r="G75" s="76"/>
      <c r="H75" s="77"/>
      <c r="I75" s="78"/>
      <c r="J75" s="79">
        <v>2.8</v>
      </c>
      <c r="K75" s="85">
        <f>H75*J75</f>
        <v>0</v>
      </c>
      <c r="L75" s="84"/>
    </row>
    <row r="76" spans="2:12" ht="26.25" customHeight="1">
      <c r="B76" s="124" t="s">
        <v>1</v>
      </c>
      <c r="C76" s="125"/>
      <c r="D76" s="88">
        <f>SUM(D72:D75)</f>
        <v>0</v>
      </c>
      <c r="E76" s="88">
        <f>SUM(E72:E75)</f>
        <v>0</v>
      </c>
      <c r="F76" s="89"/>
      <c r="G76" s="89"/>
      <c r="H76" s="90">
        <f>SUM(H72:H75)</f>
        <v>190</v>
      </c>
      <c r="I76" s="90">
        <f>SUM(I72:I75)</f>
        <v>190</v>
      </c>
      <c r="J76" s="91"/>
      <c r="K76" s="92">
        <f>SUM(K72:K75)</f>
        <v>475</v>
      </c>
      <c r="L76" s="93">
        <f>SUM(L72:L75)</f>
        <v>18450</v>
      </c>
    </row>
    <row r="77" ht="26.25" customHeight="1">
      <c r="I77" s="60"/>
    </row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</sheetData>
  <sheetProtection/>
  <mergeCells count="9">
    <mergeCell ref="B64:C64"/>
    <mergeCell ref="B70:C70"/>
    <mergeCell ref="B76:C76"/>
    <mergeCell ref="B28:C28"/>
    <mergeCell ref="B34:C34"/>
    <mergeCell ref="B40:C40"/>
    <mergeCell ref="B46:C46"/>
    <mergeCell ref="B52:C52"/>
    <mergeCell ref="B58:C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2024-01-15T07:35:13Z</cp:lastPrinted>
  <dcterms:created xsi:type="dcterms:W3CDTF">2012-01-31T04:45:00Z</dcterms:created>
  <dcterms:modified xsi:type="dcterms:W3CDTF">2024-01-17T08:16:42Z</dcterms:modified>
  <cp:category/>
  <cp:version/>
  <cp:contentType/>
  <cp:contentStatus/>
</cp:coreProperties>
</file>